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codeName="DieseArbeitsmappe" autoCompressPictures="0"/>
  <bookViews>
    <workbookView xWindow="580" yWindow="0" windowWidth="35620" windowHeight="23160" tabRatio="806"/>
  </bookViews>
  <sheets>
    <sheet name="Eingabe" sheetId="6" r:id="rId1"/>
    <sheet name="Papierliste" sheetId="2" state="hidden" r:id="rId2"/>
    <sheet name="AufrissKartonumschlag" sheetId="8" r:id="rId3"/>
    <sheet name="AufrissKlappenbroschur" sheetId="9" r:id="rId4"/>
    <sheet name="AufrissSchutzumschlag" sheetId="15" r:id="rId5"/>
    <sheet name="AufrissBezug" sheetId="12" r:id="rId6"/>
    <sheet name="AufrissHalbleinenband" sheetId="17" state="hidden" r:id="rId7"/>
    <sheet name="AufrissSmartCover" sheetId="14" state="hidden" r:id="rId8"/>
    <sheet name="Rückentabelle TB" sheetId="18" state="hidden" r:id="rId9"/>
    <sheet name="Rückentabelle HC rund" sheetId="19" state="hidden" r:id="rId10"/>
    <sheet name="Rückentabelle HC gerade" sheetId="20" state="hidden" r:id="rId11"/>
    <sheet name="Sprache" sheetId="22" state="hidden" r:id="rId12"/>
  </sheets>
  <externalReferences>
    <externalReference r:id="rId13"/>
  </externalReferences>
  <definedNames>
    <definedName name="_xlnm._FilterDatabase" localSheetId="0" hidden="1">Eingabe!#REF!</definedName>
    <definedName name="_xlnm._FilterDatabase" localSheetId="1" hidden="1">Papierliste!$A$1:$I$38</definedName>
    <definedName name="_xlnm._FilterDatabase" localSheetId="10" hidden="1">'Rückentabelle HC gerade'!$A$4:$A$13</definedName>
    <definedName name="_xlnm._FilterDatabase" localSheetId="9" hidden="1">'Rückentabelle HC rund'!$A$4:$A$13</definedName>
    <definedName name="_xlnm._FilterDatabase" localSheetId="8" hidden="1">'Rückentabelle TB'!$A$4:$A$13</definedName>
    <definedName name="Abschlag">Papierliste!$G$2:$G$42</definedName>
    <definedName name="BarbaraMaxKlappeHinten">Eingabe!$V$20</definedName>
    <definedName name="Bemerkung_1">Papierliste!$H$2:$H$42</definedName>
    <definedName name="Blockstaerke">Eingabe!$P$20</definedName>
    <definedName name="defChromaAbschlag" localSheetId="0">Eingabe!$X$10</definedName>
    <definedName name="defPapier">Papierliste!$A:$H</definedName>
    <definedName name="_xlnm.Print_Area" localSheetId="5">AufrissBezug!$A$6:$N$40</definedName>
    <definedName name="_xlnm.Print_Area" localSheetId="6">AufrissHalbleinenband!$A$10:$R$44</definedName>
    <definedName name="_xlnm.Print_Area" localSheetId="2">AufrissKartonumschlag!$A$1:$J$29</definedName>
    <definedName name="_xlnm.Print_Area" localSheetId="3">AufrissKlappenbroschur!$A$7:$K$35</definedName>
    <definedName name="_xlnm.Print_Area" localSheetId="4">AufrissSchutzumschlag!$B$6:$M$37</definedName>
    <definedName name="_xlnm.Print_Area" localSheetId="7">AufrissSmartCover!$A$6:$N$40</definedName>
    <definedName name="_xlnm.Print_Area" localSheetId="1">Papierliste!$A$1:$I$38</definedName>
    <definedName name="_xlnm.Print_Area" localSheetId="10">'Rückentabelle HC gerade'!$A$4:$N$55</definedName>
    <definedName name="_xlnm.Print_Area" localSheetId="9">'Rückentabelle HC rund'!$A$4:$N$55</definedName>
    <definedName name="_xlnm.Print_Area" localSheetId="8">'Rückentabelle TB'!$A$4:$N$55</definedName>
    <definedName name="_xlnm.Print_Area" localSheetId="11">Sprache!$A$1:$C$73</definedName>
    <definedName name="Eingabe" localSheetId="0">Eingabe!$B$11:$F$12</definedName>
    <definedName name="Eingabe">#REF!</definedName>
    <definedName name="Falzbreite">Eingabe!$P$33</definedName>
    <definedName name="FormatBreite" localSheetId="4">Eingabe!$B$9</definedName>
    <definedName name="FormatBreite">Eingabe!$B$9</definedName>
    <definedName name="FormatHöhe" localSheetId="4">Eingabe!$E$9</definedName>
    <definedName name="FormatHöhe">Eingabe!$E$9</definedName>
    <definedName name="GewUS" localSheetId="0">Eingabe!$C$26</definedName>
    <definedName name="GewUS">#REF!</definedName>
    <definedName name="lstSorten">Papierliste!$O:$O</definedName>
    <definedName name="MatListKomp">Papierliste!$P$2:$P$22</definedName>
    <definedName name="Pappe" localSheetId="4">Eingabe!$C$32</definedName>
    <definedName name="Pappe">Eingabe!$C$32</definedName>
    <definedName name="Pappenbreite">Eingabe!$P$32</definedName>
    <definedName name="PVCDicke">Eingabe!#REF!</definedName>
    <definedName name="PVCSchrenzBreite">Eingabe!#REF!</definedName>
    <definedName name="PVCSchrenzGerade">Eingabe!#REF!</definedName>
    <definedName name="PVCSchrenzRund">Eingabe!#REF!</definedName>
    <definedName name="Ruecken" localSheetId="0">Eingabe!$P$28</definedName>
    <definedName name="Ruecken">#REF!</definedName>
    <definedName name="rundgerade" localSheetId="4">Eingabe!$B$34</definedName>
    <definedName name="rundgerade">Eingabe!$B$34</definedName>
    <definedName name="SCFalzbreite">Eingabe!#REF!</definedName>
    <definedName name="SchrenzBreite" localSheetId="4">Eingabe!$C$34</definedName>
    <definedName name="SchrenzBreite">Eingabe!$C$34</definedName>
    <definedName name="SchrenzGerade">Eingabe!$P$34</definedName>
    <definedName name="SchrenzRund">Eingabe!$P$36</definedName>
    <definedName name="SCPappe">Eingabe!#REF!</definedName>
    <definedName name="SCPappenbreite">Eingabe!#REF!</definedName>
    <definedName name="SCrundgerade">Eingabe!#REF!</definedName>
    <definedName name="SCSchrenzbreite">Eingabe!#REF!</definedName>
    <definedName name="SCSchrenzGerade">Eingabe!#REF!</definedName>
    <definedName name="SCSchrenzRund">Eingabe!#REF!</definedName>
    <definedName name="StaerkeKarton" localSheetId="0">Eingabe!$P$26</definedName>
    <definedName name="StaerkeKarton">#REF!</definedName>
    <definedName name="Steigung_FH">Eingabe!$P$22</definedName>
    <definedName name="strBindeart">Eingabe!$S$22</definedName>
    <definedName name="strFormat" localSheetId="4">Eingabe!$S$9</definedName>
    <definedName name="strFormat">Eingabe!$S$9</definedName>
    <definedName name="strFormatBreite">Eingabe!$S$10</definedName>
    <definedName name="strFormatHöhe">Eingabe!$S$11</definedName>
    <definedName name="strKarton">Eingabe!$S$26</definedName>
    <definedName name="strPapier" localSheetId="4">Eingabe!$S$14</definedName>
    <definedName name="strPapier">Eingabe!$S$14</definedName>
    <definedName name="strPappe" localSheetId="4">Eingabe!$S$32</definedName>
    <definedName name="strPappe">Eingabe!$S$32</definedName>
    <definedName name="strSCPappe">Eingabe!#REF!</definedName>
    <definedName name="strTbRuecken">Eingabe!$S$28</definedName>
    <definedName name="strTitel" localSheetId="4">Eingabe!$S$4</definedName>
    <definedName name="strTitel">Eingabe!$S$4</definedName>
    <definedName name="strUmfang" localSheetId="4">Eingabe!$S$12</definedName>
    <definedName name="strUmfang">Eingabe!$S$12</definedName>
    <definedName name="strVerlag" localSheetId="4">Eingabe!$S$2</definedName>
    <definedName name="strVerlag">Eingabe!$S$2</definedName>
    <definedName name="strVorsatz">Eingabe!$S$18</definedName>
    <definedName name="TbRuecken">Eingabe!$C$28</definedName>
    <definedName name="txtAufriss">Sprache!$A$31</definedName>
    <definedName name="txtBarbara">Sprache!$A$75</definedName>
    <definedName name="txtBeschnittzugabe_ringsrum">Sprache!$A$35</definedName>
    <definedName name="txtBezug">Sprache!$A$42</definedName>
    <definedName name="txtBildteil">Sprache!$A$15</definedName>
    <definedName name="txtBindeart">Sprache!$A$17</definedName>
    <definedName name="txtBlattstärke">Sprache!$A$12</definedName>
    <definedName name="txtBlockbreite">Sprache!$A$74</definedName>
    <definedName name="txtBreite">Sprache!$A$7</definedName>
    <definedName name="txtBroschuren">Sprache!$A$22</definedName>
    <definedName name="txtBuchblock">Sprache!$A$21</definedName>
    <definedName name="txtEinschlag_ringsum">Sprache!$A$70</definedName>
    <definedName name="txteinschlagen">Sprache!$A$44</definedName>
    <definedName name="txtFadenheftung">Sprache!$A$20</definedName>
    <definedName name="txtFalz">Sprache!$A$43</definedName>
    <definedName name="txtFormat">Sprache!$A$6</definedName>
    <definedName name="txtFormatbreite">Sprache!$A$39</definedName>
    <definedName name="txtFormathöhe">Sprache!$A$40</definedName>
    <definedName name="txtgerade">Sprache!$A$52</definedName>
    <definedName name="txtGesamtbreite">Sprache!$A$30</definedName>
    <definedName name="txtGesamthöhe">Sprache!$A$34</definedName>
    <definedName name="txtGewicht">Sprache!$A$10</definedName>
    <definedName name="txtHalbleinenband">Sprache!$A$76</definedName>
    <definedName name="txtHardcover">Sprache!$A$26</definedName>
    <definedName name="txthinten">Sprache!$A$60</definedName>
    <definedName name="txtHöhe">Sprache!$A$8</definedName>
    <definedName name="txtinkl">Sprache!$A$71</definedName>
    <definedName name="txtKante">Sprache!$A$69</definedName>
    <definedName name="txtKantenüberstand">Sprache!$A$63</definedName>
    <definedName name="txtKantenumlauf">Sprache!$A$38</definedName>
    <definedName name="txtKarton">Sprache!$A$49</definedName>
    <definedName name="txtKartonumschlag">Sprache!$A$32</definedName>
    <definedName name="txtkeine_Klappe">Sprache!$A$36</definedName>
    <definedName name="txtKlappe">Sprache!$A$67</definedName>
    <definedName name="txtKlappenbreite">Sprache!$A$57</definedName>
    <definedName name="txtKlappenbroschur">Sprache!$A$37</definedName>
    <definedName name="txtKlappenüberstand">Sprache!$A$58</definedName>
    <definedName name="txtKlebebindung">Sprache!$A$19</definedName>
    <definedName name="txtMaterial">Sprache!$A$13</definedName>
    <definedName name="txtMindestens">Sprache!$A$47</definedName>
    <definedName name="txtnegative_Werte">Sprache!$A$62</definedName>
    <definedName name="txtoben_unten">Sprache!$A$64</definedName>
    <definedName name="txtPapier">Sprache!$A$33</definedName>
    <definedName name="txtPappe">Sprache!$A$27</definedName>
    <definedName name="txtPappen">Sprache!$A$65</definedName>
    <definedName name="txtPVC_Decke">Sprache!$A$53</definedName>
    <definedName name="txtPVC_Materialstärke">Sprache!$A$54</definedName>
    <definedName name="txtRücken">Sprache!$A$66</definedName>
    <definedName name="txtRückenbreite">Sprache!$A$25</definedName>
    <definedName name="txtRückeneinlage">Sprache!$A$68</definedName>
    <definedName name="txtrund">Sprache!$A$28</definedName>
    <definedName name="txtSchrenz">Sprache!$A$51</definedName>
    <definedName name="txtSchrenzbreite">Sprache!$A$50</definedName>
    <definedName name="txtSchrittweite_in_Seiten">Sprache!$A$73</definedName>
    <definedName name="txtSchutzumschlag">Sprache!$A$41</definedName>
    <definedName name="txtSchweißnaht">Sprache!$A$72</definedName>
    <definedName name="txtSeiten">Sprache!$A$56</definedName>
    <definedName name="txtSeiten_je_Lage">Sprache!$A$18</definedName>
    <definedName name="txtSichtbarer_Leinenstreifen">Sprache!$A$46</definedName>
    <definedName name="txtSmartCover">Sprache!$A$29</definedName>
    <definedName name="txtStandard">Sprache!$A$55</definedName>
    <definedName name="txtTaschenbuch">Sprache!$A$24</definedName>
    <definedName name="txtText">Sprache!$A$48</definedName>
    <definedName name="txtTextteil">Sprache!$A$14</definedName>
    <definedName name="txtTitel">Sprache!$A$5</definedName>
    <definedName name="txtÜberstand">Sprache!$A$61</definedName>
    <definedName name="txtUmfang">Sprache!$A$9</definedName>
    <definedName name="txtUmschlag">Sprache!$A$23</definedName>
    <definedName name="txtUnterlappung">Sprache!$A$45</definedName>
    <definedName name="txtVerlag">Sprache!$A$4</definedName>
    <definedName name="txtVolumen">Sprache!$A$11</definedName>
    <definedName name="txtvorne">Sprache!$A$59</definedName>
    <definedName name="txtVorsatz">Sprache!$A$16</definedName>
    <definedName name="Unterlappung">Eingabe!$G$34</definedName>
    <definedName name="Versatz">[1]Papierliste!#REF!</definedName>
    <definedName name="_xlnm.Extract" localSheetId="1">Papierliste!$B$45</definedName>
    <definedName name="_xlnm.Extract" localSheetId="10">'Rückentabelle HC gerade'!$A$16</definedName>
    <definedName name="_xlnm.Extract" localSheetId="9">'Rückentabelle HC rund'!$A$16</definedName>
    <definedName name="_xlnm.Extract" localSheetId="8">'Rückentabelle TB'!$A$16</definedName>
  </definedNames>
  <calcPr calcId="140001" iterate="1" iterateCount="50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6" l="1"/>
  <c r="P33" i="6"/>
  <c r="E34" i="12"/>
  <c r="A3" i="22"/>
  <c r="A35" i="22"/>
  <c r="G8" i="8"/>
  <c r="A43" i="22"/>
  <c r="O12" i="6"/>
  <c r="J12" i="6"/>
  <c r="K12" i="6"/>
  <c r="L12" i="6"/>
  <c r="N12" i="6"/>
  <c r="P12" i="6"/>
  <c r="O18" i="6"/>
  <c r="J18" i="6"/>
  <c r="K18" i="6"/>
  <c r="L18" i="6"/>
  <c r="N18" i="6"/>
  <c r="P18" i="6"/>
  <c r="O14" i="6"/>
  <c r="J14" i="6"/>
  <c r="K14" i="6"/>
  <c r="L14" i="6"/>
  <c r="N14" i="6"/>
  <c r="P14" i="6"/>
  <c r="O16" i="6"/>
  <c r="J16" i="6"/>
  <c r="K16" i="6"/>
  <c r="L16" i="6"/>
  <c r="N16" i="6"/>
  <c r="P16" i="6"/>
  <c r="P20" i="6"/>
  <c r="P22" i="6"/>
  <c r="P26" i="6"/>
  <c r="P28" i="6"/>
  <c r="C28" i="6"/>
  <c r="S28" i="6"/>
  <c r="E13" i="8"/>
  <c r="G22" i="14"/>
  <c r="P36" i="6"/>
  <c r="C34" i="6"/>
  <c r="I26" i="17"/>
  <c r="G22" i="12"/>
  <c r="F20" i="9"/>
  <c r="G19" i="15"/>
  <c r="K10" i="14"/>
  <c r="A24" i="2"/>
  <c r="E24" i="2"/>
  <c r="A23" i="2"/>
  <c r="E23" i="2"/>
  <c r="E12" i="2"/>
  <c r="A12" i="2"/>
  <c r="E11" i="2"/>
  <c r="A11" i="2"/>
  <c r="E10" i="2"/>
  <c r="A10" i="2"/>
  <c r="E9" i="2"/>
  <c r="A9" i="2"/>
  <c r="A19" i="2"/>
  <c r="E19" i="2"/>
  <c r="A21" i="2"/>
  <c r="E21" i="2"/>
  <c r="A17" i="2"/>
  <c r="E17" i="2"/>
  <c r="P2" i="20"/>
  <c r="A9" i="20"/>
  <c r="P2" i="19"/>
  <c r="A9" i="19"/>
  <c r="P2" i="18"/>
  <c r="A9" i="18"/>
  <c r="O2" i="2"/>
  <c r="A74" i="22"/>
  <c r="A76" i="22"/>
  <c r="A75" i="22"/>
  <c r="A72" i="22"/>
  <c r="A73" i="22"/>
  <c r="A71" i="22"/>
  <c r="A69" i="22"/>
  <c r="A70" i="22"/>
  <c r="A68" i="22"/>
  <c r="A66" i="22"/>
  <c r="A64" i="22"/>
  <c r="A67" i="22"/>
  <c r="A57" i="22"/>
  <c r="D25" i="15"/>
  <c r="J25" i="15"/>
  <c r="A65" i="22"/>
  <c r="A62" i="22"/>
  <c r="A60" i="22"/>
  <c r="A58" i="22"/>
  <c r="A63" i="22"/>
  <c r="A61" i="22"/>
  <c r="A59" i="22"/>
  <c r="A56" i="22"/>
  <c r="A53" i="22"/>
  <c r="A54" i="22"/>
  <c r="A55" i="22"/>
  <c r="A6" i="22"/>
  <c r="A8" i="22"/>
  <c r="D9" i="6"/>
  <c r="A10" i="22"/>
  <c r="C11" i="6"/>
  <c r="A12" i="22"/>
  <c r="E11" i="6"/>
  <c r="A14" i="22"/>
  <c r="A12" i="6"/>
  <c r="A16" i="22"/>
  <c r="A5" i="20"/>
  <c r="A18" i="22"/>
  <c r="D22" i="6"/>
  <c r="A20" i="22"/>
  <c r="A22" i="22"/>
  <c r="A24" i="6"/>
  <c r="A24" i="22"/>
  <c r="A26" i="22"/>
  <c r="A30" i="6"/>
  <c r="A28" i="22"/>
  <c r="H6" i="19"/>
  <c r="A30" i="22"/>
  <c r="A32" i="22"/>
  <c r="A34" i="22"/>
  <c r="A36" i="22"/>
  <c r="A38" i="22"/>
  <c r="D34" i="15"/>
  <c r="I34" i="15"/>
  <c r="A40" i="22"/>
  <c r="A42" i="22"/>
  <c r="A44" i="22"/>
  <c r="A46" i="22"/>
  <c r="A48" i="22"/>
  <c r="A4" i="20"/>
  <c r="A50" i="22"/>
  <c r="A52" i="22"/>
  <c r="H6" i="20"/>
  <c r="A5" i="22"/>
  <c r="A7" i="22"/>
  <c r="A9" i="22"/>
  <c r="A11" i="22"/>
  <c r="D11" i="6"/>
  <c r="A13" i="22"/>
  <c r="F11" i="6"/>
  <c r="A15" i="22"/>
  <c r="A17" i="22"/>
  <c r="A22" i="6"/>
  <c r="A19" i="22"/>
  <c r="A21" i="22"/>
  <c r="A7" i="6"/>
  <c r="A23" i="22"/>
  <c r="A26" i="6"/>
  <c r="A25" i="22"/>
  <c r="A27" i="22"/>
  <c r="A29" i="22"/>
  <c r="A31" i="22"/>
  <c r="A33" i="22"/>
  <c r="A37" i="22"/>
  <c r="A39" i="22"/>
  <c r="A41" i="22"/>
  <c r="A45" i="22"/>
  <c r="A47" i="22"/>
  <c r="A49" i="22"/>
  <c r="A5" i="18"/>
  <c r="A51" i="22"/>
  <c r="A4" i="22"/>
  <c r="F2" i="2"/>
  <c r="A2" i="2"/>
  <c r="A3" i="2"/>
  <c r="A5" i="2"/>
  <c r="A4" i="2"/>
  <c r="A6" i="2"/>
  <c r="A7" i="2"/>
  <c r="A8" i="2"/>
  <c r="A13" i="2"/>
  <c r="A14" i="2"/>
  <c r="A15" i="2"/>
  <c r="A16" i="2"/>
  <c r="A18" i="2"/>
  <c r="A20" i="2"/>
  <c r="A22" i="2"/>
  <c r="A25" i="2"/>
  <c r="A26" i="2"/>
  <c r="A27" i="2"/>
  <c r="A28" i="2"/>
  <c r="A29" i="2"/>
  <c r="A30" i="2"/>
  <c r="A32" i="2"/>
  <c r="A33" i="2"/>
  <c r="A31" i="2"/>
  <c r="A34" i="2"/>
  <c r="A36" i="2"/>
  <c r="A35" i="2"/>
  <c r="A37" i="2"/>
  <c r="A38" i="2"/>
  <c r="S32" i="6"/>
  <c r="S14" i="6"/>
  <c r="P32" i="6"/>
  <c r="E8" i="2"/>
  <c r="E20" i="2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45" i="20"/>
  <c r="A46" i="20"/>
  <c r="A47" i="20"/>
  <c r="A48" i="20"/>
  <c r="A49" i="20"/>
  <c r="A50" i="20"/>
  <c r="A51" i="20"/>
  <c r="A52" i="20"/>
  <c r="A53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44" i="20"/>
  <c r="D45" i="20"/>
  <c r="D46" i="20"/>
  <c r="D47" i="20"/>
  <c r="D48" i="20"/>
  <c r="D49" i="20"/>
  <c r="D50" i="20"/>
  <c r="D51" i="20"/>
  <c r="D52" i="20"/>
  <c r="D53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41" i="20"/>
  <c r="G42" i="20"/>
  <c r="G43" i="20"/>
  <c r="G44" i="20"/>
  <c r="G45" i="20"/>
  <c r="G46" i="20"/>
  <c r="G47" i="20"/>
  <c r="G48" i="20"/>
  <c r="G49" i="20"/>
  <c r="G50" i="20"/>
  <c r="G51" i="20"/>
  <c r="G52" i="20"/>
  <c r="G53" i="20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21" i="20"/>
  <c r="M22" i="20"/>
  <c r="M23" i="20"/>
  <c r="M24" i="20"/>
  <c r="M25" i="20"/>
  <c r="M26" i="20"/>
  <c r="M27" i="20"/>
  <c r="M28" i="20"/>
  <c r="M29" i="20"/>
  <c r="M30" i="20"/>
  <c r="M31" i="20"/>
  <c r="M32" i="20"/>
  <c r="M33" i="20"/>
  <c r="M34" i="20"/>
  <c r="M35" i="20"/>
  <c r="M36" i="20"/>
  <c r="M37" i="20"/>
  <c r="M38" i="20"/>
  <c r="M39" i="20"/>
  <c r="M40" i="20"/>
  <c r="M41" i="20"/>
  <c r="M42" i="20"/>
  <c r="M43" i="20"/>
  <c r="M44" i="20"/>
  <c r="M45" i="20"/>
  <c r="M46" i="20"/>
  <c r="M47" i="20"/>
  <c r="M48" i="20"/>
  <c r="M49" i="20"/>
  <c r="M50" i="20"/>
  <c r="M51" i="20"/>
  <c r="M52" i="20"/>
  <c r="M53" i="20"/>
  <c r="S18" i="6"/>
  <c r="C5" i="20"/>
  <c r="A10" i="19"/>
  <c r="A11" i="19"/>
  <c r="A12" i="19"/>
  <c r="A13" i="19"/>
  <c r="A14" i="19"/>
  <c r="A15" i="19"/>
  <c r="A16" i="19"/>
  <c r="A17" i="19"/>
  <c r="A10" i="18"/>
  <c r="A11" i="18"/>
  <c r="A12" i="18"/>
  <c r="A13" i="18"/>
  <c r="A14" i="18"/>
  <c r="A15" i="18"/>
  <c r="S2" i="6"/>
  <c r="D10" i="9"/>
  <c r="S4" i="6"/>
  <c r="D14" i="17"/>
  <c r="O14" i="17"/>
  <c r="A29" i="17"/>
  <c r="S26" i="6"/>
  <c r="C5" i="18"/>
  <c r="I10" i="15"/>
  <c r="B23" i="15"/>
  <c r="E37" i="2"/>
  <c r="E29" i="2"/>
  <c r="A25" i="14"/>
  <c r="E2" i="2"/>
  <c r="K9" i="14"/>
  <c r="D10" i="14"/>
  <c r="A25" i="12"/>
  <c r="K10" i="12"/>
  <c r="S11" i="6"/>
  <c r="A24" i="9"/>
  <c r="A19" i="8"/>
  <c r="S10" i="6"/>
  <c r="E16" i="6"/>
  <c r="E14" i="6"/>
  <c r="E7" i="2"/>
  <c r="E36" i="2"/>
  <c r="E14" i="2"/>
  <c r="E15" i="2"/>
  <c r="E35" i="2"/>
  <c r="E26" i="2"/>
  <c r="E3" i="2"/>
  <c r="E5" i="2"/>
  <c r="E4" i="2"/>
  <c r="E6" i="2"/>
  <c r="E13" i="2"/>
  <c r="E16" i="2"/>
  <c r="E18" i="2"/>
  <c r="E22" i="2"/>
  <c r="E25" i="2"/>
  <c r="E27" i="2"/>
  <c r="E28" i="2"/>
  <c r="E30" i="2"/>
  <c r="E32" i="2"/>
  <c r="E33" i="2"/>
  <c r="E31" i="2"/>
  <c r="E34" i="2"/>
  <c r="E38" i="2"/>
  <c r="X10" i="6"/>
  <c r="E18" i="6"/>
  <c r="D9" i="14"/>
  <c r="C5" i="19"/>
  <c r="D10" i="12"/>
  <c r="D11" i="9"/>
  <c r="D5" i="8"/>
  <c r="C4" i="18"/>
  <c r="C6" i="20"/>
  <c r="B11" i="17"/>
  <c r="E34" i="14"/>
  <c r="H34" i="14"/>
  <c r="D22" i="9"/>
  <c r="I9" i="15"/>
  <c r="C6" i="19"/>
  <c r="K9" i="12"/>
  <c r="O13" i="17"/>
  <c r="D17" i="17"/>
  <c r="E13" i="15"/>
  <c r="D13" i="12"/>
  <c r="B7" i="14"/>
  <c r="J13" i="14"/>
  <c r="A8" i="19"/>
  <c r="M8" i="19"/>
  <c r="A8" i="20"/>
  <c r="S12" i="6"/>
  <c r="A8" i="18"/>
  <c r="F5" i="9"/>
  <c r="E1" i="9"/>
  <c r="C5" i="9"/>
  <c r="D8" i="8"/>
  <c r="D14" i="9"/>
  <c r="C4" i="20"/>
  <c r="D13" i="14"/>
  <c r="C4" i="19"/>
  <c r="A55" i="18"/>
  <c r="J9" i="14"/>
  <c r="J9" i="12"/>
  <c r="N13" i="17"/>
  <c r="H9" i="15"/>
  <c r="D2" i="14"/>
  <c r="D2" i="12"/>
  <c r="D2" i="17"/>
  <c r="H4" i="15"/>
  <c r="A2" i="18"/>
  <c r="A2" i="20"/>
  <c r="A2" i="19"/>
  <c r="B8" i="20"/>
  <c r="B8" i="19"/>
  <c r="J10" i="14"/>
  <c r="J10" i="12"/>
  <c r="B8" i="18"/>
  <c r="N14" i="17"/>
  <c r="H10" i="15"/>
  <c r="A55" i="20"/>
  <c r="A55" i="19"/>
  <c r="A6" i="19"/>
  <c r="A6" i="20"/>
  <c r="A18" i="6"/>
  <c r="A5" i="19"/>
  <c r="A4" i="18"/>
  <c r="A4" i="19"/>
  <c r="C24" i="14"/>
  <c r="C23" i="14"/>
  <c r="J23" i="14"/>
  <c r="H13" i="15"/>
  <c r="C9" i="14"/>
  <c r="C12" i="14"/>
  <c r="C10" i="14"/>
  <c r="D4" i="14"/>
  <c r="A28" i="17"/>
  <c r="A24" i="14"/>
  <c r="N17" i="17"/>
  <c r="C17" i="17"/>
  <c r="C13" i="14"/>
  <c r="C15" i="17"/>
  <c r="C11" i="14"/>
  <c r="C2" i="17"/>
  <c r="C2" i="14"/>
  <c r="H34" i="12"/>
  <c r="G38" i="17"/>
  <c r="J38" i="17"/>
  <c r="C8" i="17"/>
  <c r="E21" i="17"/>
  <c r="M21" i="17"/>
  <c r="C24" i="12"/>
  <c r="C28" i="17"/>
  <c r="C23" i="12"/>
  <c r="J23" i="12"/>
  <c r="C27" i="17"/>
  <c r="N27" i="17"/>
  <c r="J13" i="12"/>
  <c r="C9" i="12"/>
  <c r="C13" i="17"/>
  <c r="C12" i="12"/>
  <c r="C16" i="17"/>
  <c r="C10" i="12"/>
  <c r="C14" i="17"/>
  <c r="C6" i="17"/>
  <c r="F21" i="17"/>
  <c r="L21" i="17"/>
  <c r="D4" i="12"/>
  <c r="D4" i="17"/>
  <c r="B22" i="15"/>
  <c r="A24" i="12"/>
  <c r="B7" i="12"/>
  <c r="D13" i="15"/>
  <c r="C13" i="12"/>
  <c r="D11" i="15"/>
  <c r="C11" i="12"/>
  <c r="D4" i="15"/>
  <c r="C2" i="12"/>
  <c r="G24" i="9"/>
  <c r="E25" i="15"/>
  <c r="H25" i="15"/>
  <c r="C18" i="8"/>
  <c r="E23" i="15"/>
  <c r="G14" i="9"/>
  <c r="D1" i="9"/>
  <c r="E4" i="15"/>
  <c r="C3" i="9"/>
  <c r="D2" i="15"/>
  <c r="C7" i="15"/>
  <c r="C10" i="9"/>
  <c r="D9" i="15"/>
  <c r="C13" i="9"/>
  <c r="D12" i="15"/>
  <c r="C11" i="9"/>
  <c r="D10" i="15"/>
  <c r="C15" i="8"/>
  <c r="F15" i="8"/>
  <c r="D24" i="9"/>
  <c r="C24" i="9"/>
  <c r="I24" i="9"/>
  <c r="A18" i="8"/>
  <c r="A23" i="9"/>
  <c r="B8" i="9"/>
  <c r="C8" i="8"/>
  <c r="C14" i="9"/>
  <c r="C6" i="8"/>
  <c r="C12" i="9"/>
  <c r="B2" i="8"/>
  <c r="D13" i="17"/>
  <c r="F22" i="6"/>
  <c r="S22" i="6"/>
  <c r="S9" i="6"/>
  <c r="B11" i="6"/>
  <c r="C7" i="8"/>
  <c r="A4" i="6"/>
  <c r="C5" i="8"/>
  <c r="A2" i="6"/>
  <c r="C4" i="8"/>
  <c r="D9" i="12"/>
  <c r="E9" i="15"/>
  <c r="D4" i="8"/>
  <c r="A28" i="6"/>
  <c r="A34" i="6"/>
  <c r="A32" i="6"/>
  <c r="A14" i="6"/>
  <c r="A16" i="6"/>
  <c r="A9" i="6"/>
  <c r="A18" i="19"/>
  <c r="A16" i="18"/>
  <c r="E10" i="15"/>
  <c r="E12" i="6"/>
  <c r="J8" i="19"/>
  <c r="D13" i="9"/>
  <c r="D16" i="17"/>
  <c r="D12" i="14"/>
  <c r="D7" i="8"/>
  <c r="E12" i="15"/>
  <c r="D12" i="12"/>
  <c r="D8" i="19"/>
  <c r="G8" i="19"/>
  <c r="J8" i="20"/>
  <c r="M8" i="20"/>
  <c r="D8" i="20"/>
  <c r="G8" i="20"/>
  <c r="K8" i="20"/>
  <c r="N8" i="20"/>
  <c r="E8" i="20"/>
  <c r="H8" i="20"/>
  <c r="K8" i="19"/>
  <c r="N8" i="19"/>
  <c r="E8" i="19"/>
  <c r="H8" i="19"/>
  <c r="K8" i="18"/>
  <c r="N8" i="18"/>
  <c r="E8" i="18"/>
  <c r="H8" i="18"/>
  <c r="J8" i="18"/>
  <c r="M8" i="18"/>
  <c r="D8" i="18"/>
  <c r="G8" i="18"/>
  <c r="D11" i="14"/>
  <c r="D12" i="9"/>
  <c r="D11" i="12"/>
  <c r="D15" i="17"/>
  <c r="D6" i="8"/>
  <c r="E11" i="15"/>
  <c r="A17" i="18"/>
  <c r="A19" i="19"/>
  <c r="G14" i="6"/>
  <c r="Q4" i="20"/>
  <c r="T4" i="20"/>
  <c r="Q4" i="19"/>
  <c r="T4" i="19"/>
  <c r="Q4" i="18"/>
  <c r="B16" i="18"/>
  <c r="G12" i="6"/>
  <c r="G16" i="6"/>
  <c r="G18" i="6"/>
  <c r="F3" i="2"/>
  <c r="A20" i="19"/>
  <c r="A18" i="18"/>
  <c r="B17" i="18"/>
  <c r="N53" i="20"/>
  <c r="N13" i="20"/>
  <c r="H23" i="20"/>
  <c r="K22" i="20"/>
  <c r="N48" i="20"/>
  <c r="K23" i="20"/>
  <c r="B13" i="18"/>
  <c r="N33" i="20"/>
  <c r="H15" i="20"/>
  <c r="E16" i="20"/>
  <c r="N40" i="20"/>
  <c r="B9" i="18"/>
  <c r="B15" i="20"/>
  <c r="H10" i="20"/>
  <c r="H16" i="20"/>
  <c r="B29" i="20"/>
  <c r="B12" i="18"/>
  <c r="B11" i="19"/>
  <c r="H27" i="20"/>
  <c r="N35" i="20"/>
  <c r="E22" i="20"/>
  <c r="N16" i="20"/>
  <c r="K34" i="20"/>
  <c r="B18" i="20"/>
  <c r="B52" i="20"/>
  <c r="E12" i="20"/>
  <c r="H34" i="20"/>
  <c r="H38" i="20"/>
  <c r="N27" i="20"/>
  <c r="K27" i="20"/>
  <c r="B15" i="18"/>
  <c r="B10" i="18"/>
  <c r="E37" i="20"/>
  <c r="K16" i="20"/>
  <c r="B38" i="20"/>
  <c r="N43" i="20"/>
  <c r="H9" i="20"/>
  <c r="E31" i="20"/>
  <c r="N31" i="20"/>
  <c r="E17" i="20"/>
  <c r="E9" i="20"/>
  <c r="E21" i="20"/>
  <c r="N34" i="20"/>
  <c r="B43" i="20"/>
  <c r="K47" i="20"/>
  <c r="T4" i="18"/>
  <c r="K46" i="20"/>
  <c r="N28" i="20"/>
  <c r="B17" i="20"/>
  <c r="H48" i="20"/>
  <c r="B32" i="20"/>
  <c r="E29" i="20"/>
  <c r="H25" i="20"/>
  <c r="N26" i="20"/>
  <c r="K31" i="20"/>
  <c r="K53" i="20"/>
  <c r="K26" i="20"/>
  <c r="H51" i="20"/>
  <c r="H28" i="20"/>
  <c r="K14" i="20"/>
  <c r="B47" i="20"/>
  <c r="E10" i="20"/>
  <c r="K39" i="20"/>
  <c r="H50" i="20"/>
  <c r="N37" i="20"/>
  <c r="B39" i="20"/>
  <c r="K40" i="20"/>
  <c r="H30" i="20"/>
  <c r="E25" i="20"/>
  <c r="B23" i="20"/>
  <c r="B9" i="20"/>
  <c r="E33" i="20"/>
  <c r="K38" i="20"/>
  <c r="E47" i="20"/>
  <c r="B11" i="20"/>
  <c r="H19" i="20"/>
  <c r="N29" i="20"/>
  <c r="E15" i="20"/>
  <c r="B42" i="20"/>
  <c r="B40" i="20"/>
  <c r="H36" i="20"/>
  <c r="E46" i="20"/>
  <c r="B46" i="20"/>
  <c r="N44" i="20"/>
  <c r="E40" i="20"/>
  <c r="H33" i="20"/>
  <c r="E28" i="20"/>
  <c r="B19" i="20"/>
  <c r="B14" i="18"/>
  <c r="B11" i="18"/>
  <c r="N17" i="20"/>
  <c r="K35" i="20"/>
  <c r="E18" i="20"/>
  <c r="K48" i="20"/>
  <c r="E39" i="20"/>
  <c r="H12" i="20"/>
  <c r="N38" i="20"/>
  <c r="E34" i="20"/>
  <c r="E23" i="20"/>
  <c r="H47" i="20"/>
  <c r="N25" i="20"/>
  <c r="N11" i="20"/>
  <c r="K50" i="20"/>
  <c r="N12" i="20"/>
  <c r="B28" i="20"/>
  <c r="K42" i="20"/>
  <c r="N39" i="20"/>
  <c r="N20" i="20"/>
  <c r="N15" i="20"/>
  <c r="K29" i="20"/>
  <c r="H17" i="20"/>
  <c r="K15" i="20"/>
  <c r="H32" i="20"/>
  <c r="B10" i="20"/>
  <c r="B33" i="20"/>
  <c r="N52" i="20"/>
  <c r="B53" i="20"/>
  <c r="B13" i="19"/>
  <c r="B12" i="19"/>
  <c r="B16" i="19"/>
  <c r="B18" i="19"/>
  <c r="B9" i="19"/>
  <c r="B10" i="19"/>
  <c r="B17" i="19"/>
  <c r="B19" i="19"/>
  <c r="B15" i="19"/>
  <c r="B14" i="19"/>
  <c r="N49" i="20"/>
  <c r="N9" i="20"/>
  <c r="H21" i="20"/>
  <c r="H42" i="20"/>
  <c r="B34" i="20"/>
  <c r="H29" i="20"/>
  <c r="B49" i="20"/>
  <c r="N36" i="20"/>
  <c r="N41" i="20"/>
  <c r="E45" i="20"/>
  <c r="K41" i="20"/>
  <c r="H45" i="20"/>
  <c r="B25" i="20"/>
  <c r="B22" i="20"/>
  <c r="N30" i="20"/>
  <c r="B35" i="20"/>
  <c r="H43" i="20"/>
  <c r="E50" i="20"/>
  <c r="H37" i="20"/>
  <c r="E38" i="20"/>
  <c r="K10" i="20"/>
  <c r="B27" i="20"/>
  <c r="E48" i="20"/>
  <c r="N22" i="20"/>
  <c r="B50" i="20"/>
  <c r="N24" i="20"/>
  <c r="H31" i="20"/>
  <c r="E26" i="20"/>
  <c r="K44" i="20"/>
  <c r="B45" i="20"/>
  <c r="E52" i="20"/>
  <c r="K18" i="20"/>
  <c r="H44" i="20"/>
  <c r="B12" i="20"/>
  <c r="K49" i="20"/>
  <c r="B51" i="20"/>
  <c r="N23" i="20"/>
  <c r="E27" i="20"/>
  <c r="K33" i="20"/>
  <c r="E13" i="20"/>
  <c r="E44" i="20"/>
  <c r="K28" i="20"/>
  <c r="H46" i="20"/>
  <c r="E42" i="20"/>
  <c r="B31" i="20"/>
  <c r="H13" i="20"/>
  <c r="E43" i="20"/>
  <c r="B44" i="20"/>
  <c r="B21" i="20"/>
  <c r="E24" i="20"/>
  <c r="N10" i="20"/>
  <c r="H22" i="20"/>
  <c r="N21" i="20"/>
  <c r="K11" i="20"/>
  <c r="N32" i="20"/>
  <c r="K19" i="20"/>
  <c r="K9" i="20"/>
  <c r="H52" i="20"/>
  <c r="K17" i="20"/>
  <c r="N14" i="20"/>
  <c r="K13" i="20"/>
  <c r="B26" i="20"/>
  <c r="E53" i="20"/>
  <c r="K32" i="20"/>
  <c r="B16" i="20"/>
  <c r="H40" i="20"/>
  <c r="K25" i="20"/>
  <c r="N50" i="20"/>
  <c r="B13" i="20"/>
  <c r="B30" i="20"/>
  <c r="H26" i="20"/>
  <c r="E19" i="20"/>
  <c r="K30" i="20"/>
  <c r="K24" i="20"/>
  <c r="N45" i="20"/>
  <c r="K45" i="20"/>
  <c r="H49" i="20"/>
  <c r="B37" i="20"/>
  <c r="E36" i="20"/>
  <c r="H24" i="20"/>
  <c r="K43" i="20"/>
  <c r="N18" i="20"/>
  <c r="H35" i="20"/>
  <c r="K52" i="20"/>
  <c r="N42" i="20"/>
  <c r="B48" i="20"/>
  <c r="E30" i="20"/>
  <c r="N47" i="20"/>
  <c r="H20" i="20"/>
  <c r="K12" i="20"/>
  <c r="E35" i="20"/>
  <c r="E14" i="20"/>
  <c r="H53" i="20"/>
  <c r="E49" i="20"/>
  <c r="H41" i="20"/>
  <c r="B24" i="20"/>
  <c r="K51" i="20"/>
  <c r="N51" i="20"/>
  <c r="K37" i="20"/>
  <c r="N46" i="20"/>
  <c r="B36" i="20"/>
  <c r="K36" i="20"/>
  <c r="H11" i="20"/>
  <c r="H14" i="20"/>
  <c r="B14" i="20"/>
  <c r="H18" i="20"/>
  <c r="B41" i="20"/>
  <c r="B20" i="20"/>
  <c r="E51" i="20"/>
  <c r="E20" i="20"/>
  <c r="H39" i="20"/>
  <c r="K21" i="20"/>
  <c r="E41" i="20"/>
  <c r="N19" i="20"/>
  <c r="K20" i="20"/>
  <c r="E32" i="20"/>
  <c r="E11" i="20"/>
  <c r="B18" i="18"/>
  <c r="A19" i="18"/>
  <c r="B20" i="19"/>
  <c r="A21" i="19"/>
  <c r="G40" i="14"/>
  <c r="P34" i="6"/>
  <c r="B19" i="18"/>
  <c r="A20" i="18"/>
  <c r="A22" i="19"/>
  <c r="B21" i="19"/>
  <c r="V20" i="6"/>
  <c r="D29" i="8"/>
  <c r="E35" i="9"/>
  <c r="G40" i="12"/>
  <c r="I44" i="17"/>
  <c r="G36" i="15"/>
  <c r="F4" i="2"/>
  <c r="B20" i="18"/>
  <c r="A21" i="18"/>
  <c r="B22" i="19"/>
  <c r="A23" i="19"/>
  <c r="F5" i="2"/>
  <c r="O5" i="2"/>
  <c r="A24" i="19"/>
  <c r="B23" i="19"/>
  <c r="B21" i="18"/>
  <c r="A22" i="18"/>
  <c r="F6" i="2"/>
  <c r="B22" i="18"/>
  <c r="A23" i="18"/>
  <c r="B24" i="19"/>
  <c r="A25" i="19"/>
  <c r="A26" i="19"/>
  <c r="B25" i="19"/>
  <c r="B23" i="18"/>
  <c r="A24" i="18"/>
  <c r="B24" i="18"/>
  <c r="A25" i="18"/>
  <c r="B26" i="19"/>
  <c r="A27" i="19"/>
  <c r="F7" i="2"/>
  <c r="O7" i="2"/>
  <c r="A28" i="19"/>
  <c r="B27" i="19"/>
  <c r="B25" i="18"/>
  <c r="A26" i="18"/>
  <c r="F8" i="2"/>
  <c r="F9" i="2"/>
  <c r="B26" i="18"/>
  <c r="A27" i="18"/>
  <c r="B28" i="19"/>
  <c r="A29" i="19"/>
  <c r="O8" i="2"/>
  <c r="F10" i="2"/>
  <c r="A30" i="19"/>
  <c r="B29" i="19"/>
  <c r="B27" i="18"/>
  <c r="A28" i="18"/>
  <c r="O10" i="2"/>
  <c r="B28" i="18"/>
  <c r="A29" i="18"/>
  <c r="B30" i="19"/>
  <c r="A31" i="19"/>
  <c r="A32" i="19"/>
  <c r="B31" i="19"/>
  <c r="B29" i="18"/>
  <c r="A30" i="18"/>
  <c r="B30" i="18"/>
  <c r="A31" i="18"/>
  <c r="B32" i="19"/>
  <c r="A33" i="19"/>
  <c r="A34" i="19"/>
  <c r="B33" i="19"/>
  <c r="B31" i="18"/>
  <c r="A32" i="18"/>
  <c r="B32" i="18"/>
  <c r="A33" i="18"/>
  <c r="B34" i="19"/>
  <c r="A35" i="19"/>
  <c r="A36" i="19"/>
  <c r="B35" i="19"/>
  <c r="B33" i="18"/>
  <c r="A34" i="18"/>
  <c r="B34" i="18"/>
  <c r="A35" i="18"/>
  <c r="B36" i="19"/>
  <c r="A37" i="19"/>
  <c r="B37" i="19"/>
  <c r="A38" i="19"/>
  <c r="B35" i="18"/>
  <c r="A36" i="18"/>
  <c r="B36" i="18"/>
  <c r="A37" i="18"/>
  <c r="B38" i="19"/>
  <c r="A39" i="19"/>
  <c r="B39" i="19"/>
  <c r="A40" i="19"/>
  <c r="B37" i="18"/>
  <c r="A38" i="18"/>
  <c r="B38" i="18"/>
  <c r="A39" i="18"/>
  <c r="B40" i="19"/>
  <c r="A41" i="19"/>
  <c r="B41" i="19"/>
  <c r="A42" i="19"/>
  <c r="B39" i="18"/>
  <c r="A40" i="18"/>
  <c r="B40" i="18"/>
  <c r="A41" i="18"/>
  <c r="B42" i="19"/>
  <c r="A43" i="19"/>
  <c r="B43" i="19"/>
  <c r="A44" i="19"/>
  <c r="B41" i="18"/>
  <c r="A42" i="18"/>
  <c r="B42" i="18"/>
  <c r="A43" i="18"/>
  <c r="B44" i="19"/>
  <c r="A45" i="19"/>
  <c r="B45" i="19"/>
  <c r="A46" i="19"/>
  <c r="B43" i="18"/>
  <c r="A44" i="18"/>
  <c r="B44" i="18"/>
  <c r="A45" i="18"/>
  <c r="B46" i="19"/>
  <c r="A47" i="19"/>
  <c r="B47" i="19"/>
  <c r="A48" i="19"/>
  <c r="B45" i="18"/>
  <c r="A46" i="18"/>
  <c r="B46" i="18"/>
  <c r="A47" i="18"/>
  <c r="B48" i="19"/>
  <c r="A49" i="19"/>
  <c r="B49" i="19"/>
  <c r="A50" i="19"/>
  <c r="B47" i="18"/>
  <c r="A48" i="18"/>
  <c r="B48" i="18"/>
  <c r="A49" i="18"/>
  <c r="B50" i="19"/>
  <c r="A51" i="19"/>
  <c r="B51" i="19"/>
  <c r="A52" i="19"/>
  <c r="B49" i="18"/>
  <c r="A50" i="18"/>
  <c r="B50" i="18"/>
  <c r="A51" i="18"/>
  <c r="B52" i="19"/>
  <c r="A53" i="19"/>
  <c r="B53" i="19"/>
  <c r="D9" i="19"/>
  <c r="B51" i="18"/>
  <c r="A52" i="18"/>
  <c r="B52" i="18"/>
  <c r="A53" i="18"/>
  <c r="E9" i="19"/>
  <c r="D10" i="19"/>
  <c r="D11" i="19"/>
  <c r="E10" i="19"/>
  <c r="B53" i="18"/>
  <c r="D9" i="18"/>
  <c r="E9" i="18"/>
  <c r="D10" i="18"/>
  <c r="E11" i="19"/>
  <c r="D12" i="19"/>
  <c r="D13" i="19"/>
  <c r="E12" i="19"/>
  <c r="E10" i="18"/>
  <c r="D11" i="18"/>
  <c r="E11" i="18"/>
  <c r="D12" i="18"/>
  <c r="E13" i="19"/>
  <c r="D14" i="19"/>
  <c r="D15" i="19"/>
  <c r="E14" i="19"/>
  <c r="E12" i="18"/>
  <c r="D13" i="18"/>
  <c r="E13" i="18"/>
  <c r="D14" i="18"/>
  <c r="E15" i="19"/>
  <c r="D16" i="19"/>
  <c r="D17" i="19"/>
  <c r="E16" i="19"/>
  <c r="E14" i="18"/>
  <c r="D15" i="18"/>
  <c r="E15" i="18"/>
  <c r="D16" i="18"/>
  <c r="E17" i="19"/>
  <c r="D18" i="19"/>
  <c r="D19" i="19"/>
  <c r="E18" i="19"/>
  <c r="E16" i="18"/>
  <c r="D17" i="18"/>
  <c r="E17" i="18"/>
  <c r="D18" i="18"/>
  <c r="E19" i="19"/>
  <c r="D20" i="19"/>
  <c r="D21" i="19"/>
  <c r="E20" i="19"/>
  <c r="E18" i="18"/>
  <c r="D19" i="18"/>
  <c r="E19" i="18"/>
  <c r="D20" i="18"/>
  <c r="E21" i="19"/>
  <c r="D22" i="19"/>
  <c r="D23" i="19"/>
  <c r="E22" i="19"/>
  <c r="E20" i="18"/>
  <c r="D21" i="18"/>
  <c r="E21" i="18"/>
  <c r="D22" i="18"/>
  <c r="E23" i="19"/>
  <c r="D24" i="19"/>
  <c r="D25" i="19"/>
  <c r="E24" i="19"/>
  <c r="E22" i="18"/>
  <c r="D23" i="18"/>
  <c r="E23" i="18"/>
  <c r="D24" i="18"/>
  <c r="E25" i="19"/>
  <c r="D26" i="19"/>
  <c r="D27" i="19"/>
  <c r="E26" i="19"/>
  <c r="E24" i="18"/>
  <c r="D25" i="18"/>
  <c r="E25" i="18"/>
  <c r="D26" i="18"/>
  <c r="E27" i="19"/>
  <c r="D28" i="19"/>
  <c r="D29" i="19"/>
  <c r="E28" i="19"/>
  <c r="E26" i="18"/>
  <c r="D27" i="18"/>
  <c r="E27" i="18"/>
  <c r="D28" i="18"/>
  <c r="E29" i="19"/>
  <c r="D30" i="19"/>
  <c r="D31" i="19"/>
  <c r="E30" i="19"/>
  <c r="E28" i="18"/>
  <c r="D29" i="18"/>
  <c r="E29" i="18"/>
  <c r="D30" i="18"/>
  <c r="E31" i="19"/>
  <c r="D32" i="19"/>
  <c r="D33" i="19"/>
  <c r="E32" i="19"/>
  <c r="E30" i="18"/>
  <c r="D31" i="18"/>
  <c r="E31" i="18"/>
  <c r="D32" i="18"/>
  <c r="E33" i="19"/>
  <c r="D34" i="19"/>
  <c r="D35" i="19"/>
  <c r="E34" i="19"/>
  <c r="E32" i="18"/>
  <c r="D33" i="18"/>
  <c r="E33" i="18"/>
  <c r="D34" i="18"/>
  <c r="E35" i="19"/>
  <c r="D36" i="19"/>
  <c r="D37" i="19"/>
  <c r="E36" i="19"/>
  <c r="E34" i="18"/>
  <c r="D35" i="18"/>
  <c r="E35" i="18"/>
  <c r="D36" i="18"/>
  <c r="E37" i="19"/>
  <c r="D38" i="19"/>
  <c r="E38" i="19"/>
  <c r="D39" i="19"/>
  <c r="E36" i="18"/>
  <c r="D37" i="18"/>
  <c r="E37" i="18"/>
  <c r="D38" i="18"/>
  <c r="E39" i="19"/>
  <c r="D40" i="19"/>
  <c r="E40" i="19"/>
  <c r="D41" i="19"/>
  <c r="E38" i="18"/>
  <c r="D39" i="18"/>
  <c r="E39" i="18"/>
  <c r="D40" i="18"/>
  <c r="E41" i="19"/>
  <c r="D42" i="19"/>
  <c r="E42" i="19"/>
  <c r="D43" i="19"/>
  <c r="E40" i="18"/>
  <c r="D41" i="18"/>
  <c r="E41" i="18"/>
  <c r="D42" i="18"/>
  <c r="E43" i="19"/>
  <c r="D44" i="19"/>
  <c r="E44" i="19"/>
  <c r="D45" i="19"/>
  <c r="E42" i="18"/>
  <c r="D43" i="18"/>
  <c r="E43" i="18"/>
  <c r="D44" i="18"/>
  <c r="E45" i="19"/>
  <c r="D46" i="19"/>
  <c r="E46" i="19"/>
  <c r="D47" i="19"/>
  <c r="E44" i="18"/>
  <c r="D45" i="18"/>
  <c r="E45" i="18"/>
  <c r="D46" i="18"/>
  <c r="E47" i="19"/>
  <c r="D48" i="19"/>
  <c r="E48" i="19"/>
  <c r="D49" i="19"/>
  <c r="E46" i="18"/>
  <c r="D47" i="18"/>
  <c r="E47" i="18"/>
  <c r="D48" i="18"/>
  <c r="E49" i="19"/>
  <c r="D50" i="19"/>
  <c r="E50" i="19"/>
  <c r="D51" i="19"/>
  <c r="E48" i="18"/>
  <c r="D49" i="18"/>
  <c r="E49" i="18"/>
  <c r="D50" i="18"/>
  <c r="E51" i="19"/>
  <c r="D52" i="19"/>
  <c r="E52" i="19"/>
  <c r="D53" i="19"/>
  <c r="E50" i="18"/>
  <c r="D51" i="18"/>
  <c r="E51" i="18"/>
  <c r="D52" i="18"/>
  <c r="E53" i="19"/>
  <c r="G9" i="19"/>
  <c r="G10" i="19"/>
  <c r="H9" i="19"/>
  <c r="E52" i="18"/>
  <c r="D53" i="18"/>
  <c r="E53" i="18"/>
  <c r="G9" i="18"/>
  <c r="H10" i="19"/>
  <c r="G11" i="19"/>
  <c r="G12" i="19"/>
  <c r="H11" i="19"/>
  <c r="H9" i="18"/>
  <c r="G10" i="18"/>
  <c r="H10" i="18"/>
  <c r="G11" i="18"/>
  <c r="H12" i="19"/>
  <c r="G13" i="19"/>
  <c r="G14" i="19"/>
  <c r="H13" i="19"/>
  <c r="H11" i="18"/>
  <c r="G12" i="18"/>
  <c r="H12" i="18"/>
  <c r="G13" i="18"/>
  <c r="H14" i="19"/>
  <c r="G15" i="19"/>
  <c r="G16" i="19"/>
  <c r="H15" i="19"/>
  <c r="H13" i="18"/>
  <c r="G14" i="18"/>
  <c r="H14" i="18"/>
  <c r="G15" i="18"/>
  <c r="H16" i="19"/>
  <c r="G17" i="19"/>
  <c r="H17" i="19"/>
  <c r="G18" i="19"/>
  <c r="H15" i="18"/>
  <c r="G16" i="18"/>
  <c r="G17" i="18"/>
  <c r="H16" i="18"/>
  <c r="G19" i="19"/>
  <c r="H18" i="19"/>
  <c r="H19" i="19"/>
  <c r="G20" i="19"/>
  <c r="G18" i="18"/>
  <c r="H17" i="18"/>
  <c r="G21" i="19"/>
  <c r="H20" i="19"/>
  <c r="G19" i="18"/>
  <c r="H18" i="18"/>
  <c r="G20" i="18"/>
  <c r="H19" i="18"/>
  <c r="H21" i="19"/>
  <c r="G22" i="19"/>
  <c r="G23" i="19"/>
  <c r="H22" i="19"/>
  <c r="G21" i="18"/>
  <c r="H20" i="18"/>
  <c r="G22" i="18"/>
  <c r="H21" i="18"/>
  <c r="H23" i="19"/>
  <c r="G24" i="19"/>
  <c r="G25" i="19"/>
  <c r="H24" i="19"/>
  <c r="G23" i="18"/>
  <c r="H22" i="18"/>
  <c r="G24" i="18"/>
  <c r="H23" i="18"/>
  <c r="H25" i="19"/>
  <c r="G26" i="19"/>
  <c r="G27" i="19"/>
  <c r="H26" i="19"/>
  <c r="G25" i="18"/>
  <c r="H24" i="18"/>
  <c r="G26" i="18"/>
  <c r="H25" i="18"/>
  <c r="H27" i="19"/>
  <c r="G28" i="19"/>
  <c r="G29" i="19"/>
  <c r="H28" i="19"/>
  <c r="G27" i="18"/>
  <c r="H26" i="18"/>
  <c r="G28" i="18"/>
  <c r="H27" i="18"/>
  <c r="H29" i="19"/>
  <c r="G30" i="19"/>
  <c r="G31" i="19"/>
  <c r="H30" i="19"/>
  <c r="G29" i="18"/>
  <c r="H28" i="18"/>
  <c r="G30" i="18"/>
  <c r="H29" i="18"/>
  <c r="H31" i="19"/>
  <c r="G32" i="19"/>
  <c r="G33" i="19"/>
  <c r="H32" i="19"/>
  <c r="G31" i="18"/>
  <c r="H30" i="18"/>
  <c r="G32" i="18"/>
  <c r="H31" i="18"/>
  <c r="H33" i="19"/>
  <c r="G34" i="19"/>
  <c r="G35" i="19"/>
  <c r="H34" i="19"/>
  <c r="G33" i="18"/>
  <c r="H32" i="18"/>
  <c r="G34" i="18"/>
  <c r="H33" i="18"/>
  <c r="H35" i="19"/>
  <c r="G36" i="19"/>
  <c r="G37" i="19"/>
  <c r="H36" i="19"/>
  <c r="G35" i="18"/>
  <c r="H34" i="18"/>
  <c r="G36" i="18"/>
  <c r="H35" i="18"/>
  <c r="G38" i="19"/>
  <c r="H37" i="19"/>
  <c r="G39" i="19"/>
  <c r="H38" i="19"/>
  <c r="G37" i="18"/>
  <c r="H36" i="18"/>
  <c r="G38" i="18"/>
  <c r="H37" i="18"/>
  <c r="G40" i="19"/>
  <c r="H39" i="19"/>
  <c r="G41" i="19"/>
  <c r="H40" i="19"/>
  <c r="G39" i="18"/>
  <c r="H38" i="18"/>
  <c r="G40" i="18"/>
  <c r="H39" i="18"/>
  <c r="G42" i="19"/>
  <c r="H41" i="19"/>
  <c r="G43" i="19"/>
  <c r="H42" i="19"/>
  <c r="G41" i="18"/>
  <c r="H40" i="18"/>
  <c r="G42" i="18"/>
  <c r="H41" i="18"/>
  <c r="G44" i="19"/>
  <c r="H43" i="19"/>
  <c r="G45" i="19"/>
  <c r="H44" i="19"/>
  <c r="G43" i="18"/>
  <c r="H42" i="18"/>
  <c r="G44" i="18"/>
  <c r="H43" i="18"/>
  <c r="G46" i="19"/>
  <c r="H45" i="19"/>
  <c r="G47" i="19"/>
  <c r="H46" i="19"/>
  <c r="G45" i="18"/>
  <c r="H44" i="18"/>
  <c r="G46" i="18"/>
  <c r="H45" i="18"/>
  <c r="G48" i="19"/>
  <c r="H47" i="19"/>
  <c r="G49" i="19"/>
  <c r="H48" i="19"/>
  <c r="G47" i="18"/>
  <c r="H46" i="18"/>
  <c r="G48" i="18"/>
  <c r="H47" i="18"/>
  <c r="G50" i="19"/>
  <c r="H49" i="19"/>
  <c r="G51" i="19"/>
  <c r="H50" i="19"/>
  <c r="G49" i="18"/>
  <c r="H48" i="18"/>
  <c r="G50" i="18"/>
  <c r="H49" i="18"/>
  <c r="G52" i="19"/>
  <c r="H51" i="19"/>
  <c r="G53" i="19"/>
  <c r="H52" i="19"/>
  <c r="G51" i="18"/>
  <c r="H50" i="18"/>
  <c r="G52" i="18"/>
  <c r="H51" i="18"/>
  <c r="J9" i="19"/>
  <c r="H53" i="19"/>
  <c r="J10" i="19"/>
  <c r="K9" i="19"/>
  <c r="G53" i="18"/>
  <c r="H52" i="18"/>
  <c r="J9" i="18"/>
  <c r="H53" i="18"/>
  <c r="K10" i="19"/>
  <c r="J11" i="19"/>
  <c r="J12" i="19"/>
  <c r="K11" i="19"/>
  <c r="J10" i="18"/>
  <c r="K9" i="18"/>
  <c r="J11" i="18"/>
  <c r="K10" i="18"/>
  <c r="K12" i="19"/>
  <c r="J13" i="19"/>
  <c r="J14" i="19"/>
  <c r="K13" i="19"/>
  <c r="J12" i="18"/>
  <c r="K11" i="18"/>
  <c r="J13" i="18"/>
  <c r="K12" i="18"/>
  <c r="K14" i="19"/>
  <c r="J15" i="19"/>
  <c r="J16" i="19"/>
  <c r="K15" i="19"/>
  <c r="J14" i="18"/>
  <c r="K13" i="18"/>
  <c r="J15" i="18"/>
  <c r="K14" i="18"/>
  <c r="K16" i="19"/>
  <c r="J17" i="19"/>
  <c r="J18" i="19"/>
  <c r="K17" i="19"/>
  <c r="J16" i="18"/>
  <c r="K15" i="18"/>
  <c r="J17" i="18"/>
  <c r="K16" i="18"/>
  <c r="K18" i="19"/>
  <c r="J19" i="19"/>
  <c r="J20" i="19"/>
  <c r="K19" i="19"/>
  <c r="J18" i="18"/>
  <c r="K17" i="18"/>
  <c r="J19" i="18"/>
  <c r="K18" i="18"/>
  <c r="K20" i="19"/>
  <c r="J21" i="19"/>
  <c r="J22" i="19"/>
  <c r="K21" i="19"/>
  <c r="J20" i="18"/>
  <c r="K19" i="18"/>
  <c r="J21" i="18"/>
  <c r="K20" i="18"/>
  <c r="K22" i="19"/>
  <c r="J23" i="19"/>
  <c r="J24" i="19"/>
  <c r="K23" i="19"/>
  <c r="J22" i="18"/>
  <c r="K21" i="18"/>
  <c r="J23" i="18"/>
  <c r="K22" i="18"/>
  <c r="K24" i="19"/>
  <c r="J25" i="19"/>
  <c r="J26" i="19"/>
  <c r="K25" i="19"/>
  <c r="J24" i="18"/>
  <c r="K23" i="18"/>
  <c r="J25" i="18"/>
  <c r="K24" i="18"/>
  <c r="K26" i="19"/>
  <c r="J27" i="19"/>
  <c r="J28" i="19"/>
  <c r="K27" i="19"/>
  <c r="J26" i="18"/>
  <c r="K25" i="18"/>
  <c r="J27" i="18"/>
  <c r="K26" i="18"/>
  <c r="K28" i="19"/>
  <c r="J29" i="19"/>
  <c r="J30" i="19"/>
  <c r="K29" i="19"/>
  <c r="J28" i="18"/>
  <c r="K27" i="18"/>
  <c r="J29" i="18"/>
  <c r="K28" i="18"/>
  <c r="K30" i="19"/>
  <c r="J31" i="19"/>
  <c r="J32" i="19"/>
  <c r="K31" i="19"/>
  <c r="J30" i="18"/>
  <c r="K29" i="18"/>
  <c r="J31" i="18"/>
  <c r="K30" i="18"/>
  <c r="K32" i="19"/>
  <c r="J33" i="19"/>
  <c r="J34" i="19"/>
  <c r="K33" i="19"/>
  <c r="J32" i="18"/>
  <c r="K31" i="18"/>
  <c r="J33" i="18"/>
  <c r="K32" i="18"/>
  <c r="K34" i="19"/>
  <c r="J35" i="19"/>
  <c r="J36" i="19"/>
  <c r="K35" i="19"/>
  <c r="J34" i="18"/>
  <c r="K33" i="18"/>
  <c r="J35" i="18"/>
  <c r="K34" i="18"/>
  <c r="K36" i="19"/>
  <c r="J37" i="19"/>
  <c r="J38" i="19"/>
  <c r="K37" i="19"/>
  <c r="J36" i="18"/>
  <c r="K35" i="18"/>
  <c r="J37" i="18"/>
  <c r="K36" i="18"/>
  <c r="K38" i="19"/>
  <c r="J39" i="19"/>
  <c r="J40" i="19"/>
  <c r="K39" i="19"/>
  <c r="J38" i="18"/>
  <c r="K37" i="18"/>
  <c r="J39" i="18"/>
  <c r="K38" i="18"/>
  <c r="K40" i="19"/>
  <c r="J41" i="19"/>
  <c r="J42" i="19"/>
  <c r="K41" i="19"/>
  <c r="J40" i="18"/>
  <c r="K39" i="18"/>
  <c r="J41" i="18"/>
  <c r="K40" i="18"/>
  <c r="K42" i="19"/>
  <c r="J43" i="19"/>
  <c r="J44" i="19"/>
  <c r="K43" i="19"/>
  <c r="J42" i="18"/>
  <c r="K41" i="18"/>
  <c r="J43" i="18"/>
  <c r="K42" i="18"/>
  <c r="K44" i="19"/>
  <c r="J45" i="19"/>
  <c r="J46" i="19"/>
  <c r="K45" i="19"/>
  <c r="J44" i="18"/>
  <c r="K43" i="18"/>
  <c r="J45" i="18"/>
  <c r="K44" i="18"/>
  <c r="K46" i="19"/>
  <c r="J47" i="19"/>
  <c r="J48" i="19"/>
  <c r="K47" i="19"/>
  <c r="J46" i="18"/>
  <c r="K45" i="18"/>
  <c r="J47" i="18"/>
  <c r="K46" i="18"/>
  <c r="K48" i="19"/>
  <c r="J49" i="19"/>
  <c r="J50" i="19"/>
  <c r="K49" i="19"/>
  <c r="J48" i="18"/>
  <c r="K47" i="18"/>
  <c r="J49" i="18"/>
  <c r="K48" i="18"/>
  <c r="K50" i="19"/>
  <c r="J51" i="19"/>
  <c r="J52" i="19"/>
  <c r="K51" i="19"/>
  <c r="J50" i="18"/>
  <c r="K49" i="18"/>
  <c r="J51" i="18"/>
  <c r="K50" i="18"/>
  <c r="K52" i="19"/>
  <c r="J53" i="19"/>
  <c r="M9" i="19"/>
  <c r="K53" i="19"/>
  <c r="J52" i="18"/>
  <c r="K51" i="18"/>
  <c r="J53" i="18"/>
  <c r="K52" i="18"/>
  <c r="N9" i="19"/>
  <c r="M10" i="19"/>
  <c r="M11" i="19"/>
  <c r="N10" i="19"/>
  <c r="M9" i="18"/>
  <c r="K53" i="18"/>
  <c r="M10" i="18"/>
  <c r="N9" i="18"/>
  <c r="N11" i="19"/>
  <c r="M12" i="19"/>
  <c r="M13" i="19"/>
  <c r="N12" i="19"/>
  <c r="M11" i="18"/>
  <c r="N10" i="18"/>
  <c r="M12" i="18"/>
  <c r="N11" i="18"/>
  <c r="N13" i="19"/>
  <c r="M14" i="19"/>
  <c r="M15" i="19"/>
  <c r="N14" i="19"/>
  <c r="M13" i="18"/>
  <c r="N12" i="18"/>
  <c r="M14" i="18"/>
  <c r="N13" i="18"/>
  <c r="N15" i="19"/>
  <c r="M16" i="19"/>
  <c r="M17" i="19"/>
  <c r="N16" i="19"/>
  <c r="M15" i="18"/>
  <c r="N14" i="18"/>
  <c r="M16" i="18"/>
  <c r="N15" i="18"/>
  <c r="N17" i="19"/>
  <c r="M18" i="19"/>
  <c r="M19" i="19"/>
  <c r="N18" i="19"/>
  <c r="M17" i="18"/>
  <c r="N16" i="18"/>
  <c r="M18" i="18"/>
  <c r="N17" i="18"/>
  <c r="N19" i="19"/>
  <c r="M20" i="19"/>
  <c r="M21" i="19"/>
  <c r="N20" i="19"/>
  <c r="M19" i="18"/>
  <c r="N18" i="18"/>
  <c r="M20" i="18"/>
  <c r="N19" i="18"/>
  <c r="N21" i="19"/>
  <c r="M22" i="19"/>
  <c r="M23" i="19"/>
  <c r="N22" i="19"/>
  <c r="M21" i="18"/>
  <c r="N20" i="18"/>
  <c r="M22" i="18"/>
  <c r="N21" i="18"/>
  <c r="N23" i="19"/>
  <c r="M24" i="19"/>
  <c r="M25" i="19"/>
  <c r="N24" i="19"/>
  <c r="M23" i="18"/>
  <c r="N22" i="18"/>
  <c r="M24" i="18"/>
  <c r="N23" i="18"/>
  <c r="N25" i="19"/>
  <c r="M26" i="19"/>
  <c r="M27" i="19"/>
  <c r="N26" i="19"/>
  <c r="M25" i="18"/>
  <c r="N24" i="18"/>
  <c r="M26" i="18"/>
  <c r="N25" i="18"/>
  <c r="N27" i="19"/>
  <c r="M28" i="19"/>
  <c r="M29" i="19"/>
  <c r="N28" i="19"/>
  <c r="M27" i="18"/>
  <c r="N26" i="18"/>
  <c r="M28" i="18"/>
  <c r="N27" i="18"/>
  <c r="N29" i="19"/>
  <c r="M30" i="19"/>
  <c r="M31" i="19"/>
  <c r="N30" i="19"/>
  <c r="M29" i="18"/>
  <c r="N28" i="18"/>
  <c r="M30" i="18"/>
  <c r="N29" i="18"/>
  <c r="N31" i="19"/>
  <c r="M32" i="19"/>
  <c r="M33" i="19"/>
  <c r="N32" i="19"/>
  <c r="M31" i="18"/>
  <c r="N30" i="18"/>
  <c r="M32" i="18"/>
  <c r="N31" i="18"/>
  <c r="N33" i="19"/>
  <c r="M34" i="19"/>
  <c r="M35" i="19"/>
  <c r="N34" i="19"/>
  <c r="M33" i="18"/>
  <c r="N32" i="18"/>
  <c r="M34" i="18"/>
  <c r="N33" i="18"/>
  <c r="N35" i="19"/>
  <c r="M36" i="19"/>
  <c r="M37" i="19"/>
  <c r="N36" i="19"/>
  <c r="M35" i="18"/>
  <c r="N34" i="18"/>
  <c r="M36" i="18"/>
  <c r="N35" i="18"/>
  <c r="N37" i="19"/>
  <c r="M38" i="19"/>
  <c r="M39" i="19"/>
  <c r="N38" i="19"/>
  <c r="M37" i="18"/>
  <c r="N36" i="18"/>
  <c r="M38" i="18"/>
  <c r="N37" i="18"/>
  <c r="N39" i="19"/>
  <c r="M40" i="19"/>
  <c r="M41" i="19"/>
  <c r="N40" i="19"/>
  <c r="M39" i="18"/>
  <c r="N38" i="18"/>
  <c r="M40" i="18"/>
  <c r="N39" i="18"/>
  <c r="N41" i="19"/>
  <c r="M42" i="19"/>
  <c r="M43" i="19"/>
  <c r="N42" i="19"/>
  <c r="M41" i="18"/>
  <c r="N40" i="18"/>
  <c r="M42" i="18"/>
  <c r="N41" i="18"/>
  <c r="N43" i="19"/>
  <c r="M44" i="19"/>
  <c r="M45" i="19"/>
  <c r="N44" i="19"/>
  <c r="M43" i="18"/>
  <c r="N42" i="18"/>
  <c r="M44" i="18"/>
  <c r="N43" i="18"/>
  <c r="N45" i="19"/>
  <c r="M46" i="19"/>
  <c r="M47" i="19"/>
  <c r="N46" i="19"/>
  <c r="M45" i="18"/>
  <c r="N44" i="18"/>
  <c r="M46" i="18"/>
  <c r="N45" i="18"/>
  <c r="M48" i="19"/>
  <c r="N47" i="19"/>
  <c r="M49" i="19"/>
  <c r="N48" i="19"/>
  <c r="M47" i="18"/>
  <c r="N46" i="18"/>
  <c r="M48" i="18"/>
  <c r="N47" i="18"/>
  <c r="N49" i="19"/>
  <c r="M50" i="19"/>
  <c r="N50" i="19"/>
  <c r="M51" i="19"/>
  <c r="N48" i="18"/>
  <c r="M49" i="18"/>
  <c r="M50" i="18"/>
  <c r="N49" i="18"/>
  <c r="N51" i="19"/>
  <c r="M52" i="19"/>
  <c r="N52" i="19"/>
  <c r="M53" i="19"/>
  <c r="N53" i="19"/>
  <c r="N50" i="18"/>
  <c r="M51" i="18"/>
  <c r="M52" i="18"/>
  <c r="N51" i="18"/>
  <c r="M53" i="18"/>
  <c r="N53" i="18"/>
  <c r="N52" i="18"/>
  <c r="F11" i="2"/>
  <c r="F12" i="2"/>
  <c r="O12" i="2"/>
  <c r="F13" i="2"/>
  <c r="O13" i="2"/>
  <c r="F14" i="2"/>
  <c r="O14" i="2"/>
  <c r="F15" i="2"/>
  <c r="O15" i="2"/>
  <c r="F16" i="2"/>
  <c r="O16" i="2"/>
  <c r="F17" i="2"/>
  <c r="O17" i="2"/>
  <c r="F18" i="2"/>
  <c r="O18" i="2"/>
  <c r="F19" i="2"/>
  <c r="O19" i="2"/>
  <c r="F20" i="2"/>
  <c r="F21" i="2"/>
  <c r="O21" i="2"/>
  <c r="F22" i="2"/>
  <c r="O22" i="2"/>
  <c r="F23" i="2"/>
  <c r="O23" i="2"/>
  <c r="F24" i="2"/>
  <c r="O24" i="2"/>
  <c r="F25" i="2"/>
  <c r="O25" i="2"/>
  <c r="F26" i="2"/>
  <c r="O26" i="2"/>
  <c r="F27" i="2"/>
  <c r="O27" i="2"/>
  <c r="F28" i="2"/>
  <c r="O28" i="2"/>
  <c r="F29" i="2"/>
  <c r="O29" i="2"/>
  <c r="F30" i="2"/>
  <c r="O30" i="2"/>
  <c r="F31" i="2"/>
  <c r="O31" i="2"/>
  <c r="F32" i="2"/>
  <c r="O32" i="2"/>
  <c r="F33" i="2"/>
  <c r="O33" i="2"/>
  <c r="F38" i="2"/>
  <c r="O3" i="2"/>
  <c r="F34" i="2"/>
  <c r="O34" i="2"/>
  <c r="O4" i="2"/>
  <c r="O6" i="2"/>
  <c r="F35" i="2"/>
  <c r="O35" i="2"/>
  <c r="F36" i="2"/>
  <c r="O36" i="2"/>
  <c r="O9" i="2"/>
  <c r="O11" i="2"/>
  <c r="O20" i="2"/>
  <c r="F37" i="2"/>
  <c r="O38" i="2"/>
  <c r="O37" i="2"/>
</calcChain>
</file>

<file path=xl/sharedStrings.xml><?xml version="1.0" encoding="utf-8"?>
<sst xmlns="http://schemas.openxmlformats.org/spreadsheetml/2006/main" count="312" uniqueCount="217">
  <si>
    <t xml:space="preserve">Language   </t>
  </si>
  <si>
    <t>de</t>
  </si>
  <si>
    <t>strVerlag</t>
  </si>
  <si>
    <t>strTitel</t>
  </si>
  <si>
    <t>mm</t>
  </si>
  <si>
    <t>strFormat</t>
  </si>
  <si>
    <t>Ausnahme?</t>
  </si>
  <si>
    <t>Material?</t>
  </si>
  <si>
    <t>MatNr</t>
  </si>
  <si>
    <t>Abschlag</t>
  </si>
  <si>
    <t>FNorm</t>
  </si>
  <si>
    <t>Ergebnis</t>
  </si>
  <si>
    <t>strFormatBreite</t>
  </si>
  <si>
    <t>defChromaAbschlag:</t>
  </si>
  <si>
    <t>strFormatHöhe</t>
  </si>
  <si>
    <t>Munken Print Cream</t>
  </si>
  <si>
    <t>strUmfang</t>
  </si>
  <si>
    <t>strPapier</t>
  </si>
  <si>
    <t>00_Chromaberechnung</t>
  </si>
  <si>
    <t>strVorsatz</t>
  </si>
  <si>
    <t>Blockstaerke</t>
  </si>
  <si>
    <t>BarbaraMaxKlappeHinten</t>
  </si>
  <si>
    <t>Steigung FH</t>
  </si>
  <si>
    <t>strBindeart</t>
  </si>
  <si>
    <t>g/m²</t>
  </si>
  <si>
    <t>strKarton</t>
  </si>
  <si>
    <t>strTbRuecken</t>
  </si>
  <si>
    <t>Pappenbreite</t>
  </si>
  <si>
    <t>netto</t>
  </si>
  <si>
    <t>strPappe</t>
  </si>
  <si>
    <t>Falzbreite</t>
  </si>
  <si>
    <t>rund</t>
  </si>
  <si>
    <t>rund = round; gerade = streight</t>
  </si>
  <si>
    <t>SchrenzGerade</t>
  </si>
  <si>
    <t>SchrenzRund</t>
  </si>
  <si>
    <t>idxPapier</t>
  </si>
  <si>
    <t>Sorte</t>
  </si>
  <si>
    <t>Gewicht</t>
  </si>
  <si>
    <t>Volumen</t>
  </si>
  <si>
    <t>idx</t>
  </si>
  <si>
    <t>0</t>
  </si>
  <si>
    <t>Bemerkung 1</t>
  </si>
  <si>
    <t>Bemerkung 2</t>
  </si>
  <si>
    <t>Werte für Abschlag</t>
  </si>
  <si>
    <t>MatListKomp</t>
  </si>
  <si>
    <t>Bilderdruck</t>
  </si>
  <si>
    <t xml:space="preserve"> </t>
  </si>
  <si>
    <t>0 = Chromaberechnung</t>
  </si>
  <si>
    <t>Creamy TB Papier</t>
  </si>
  <si>
    <t>1 = Schulformel</t>
  </si>
  <si>
    <t>Enso Classic</t>
  </si>
  <si>
    <t>0,01 - 0,99 = Individueller Abschlag</t>
  </si>
  <si>
    <t>Enviro</t>
  </si>
  <si>
    <t>Holmen Book Cream</t>
  </si>
  <si>
    <t>Holmen Book White</t>
  </si>
  <si>
    <t>Lux Cream</t>
  </si>
  <si>
    <t>LuxoArt Samt</t>
  </si>
  <si>
    <t>Munken Premium Cream</t>
  </si>
  <si>
    <t>Munken Print White</t>
  </si>
  <si>
    <t>Offset Amber Graphic</t>
  </si>
  <si>
    <t>Offset Circle White</t>
  </si>
  <si>
    <t>Offset Papiere</t>
  </si>
  <si>
    <t>Pamo House</t>
  </si>
  <si>
    <t>Ohne Abschlag ohne Karton</t>
  </si>
  <si>
    <t>Salzer Alpin</t>
  </si>
  <si>
    <t>Salzer EOS</t>
  </si>
  <si>
    <t>Super Snowbright</t>
  </si>
  <si>
    <t>Vorsatz</t>
  </si>
  <si>
    <t>Werkdruck holzfrei (Cordier, Schleipen, Salzer, EOS)</t>
  </si>
  <si>
    <t>16 (Standard)</t>
  </si>
  <si>
    <t>Faktor/Seite:</t>
  </si>
  <si>
    <t>Blattstärke:</t>
  </si>
  <si>
    <t>Runden auf:</t>
  </si>
  <si>
    <t>Rücken:</t>
  </si>
  <si>
    <t>en</t>
  </si>
  <si>
    <t>Verlag</t>
  </si>
  <si>
    <t>publisher</t>
  </si>
  <si>
    <t>Titel</t>
  </si>
  <si>
    <t>title</t>
  </si>
  <si>
    <t>Format</t>
  </si>
  <si>
    <t>format</t>
  </si>
  <si>
    <t>Breite</t>
  </si>
  <si>
    <t>width</t>
  </si>
  <si>
    <t>Höhe</t>
  </si>
  <si>
    <t>height</t>
  </si>
  <si>
    <t>Umfang</t>
  </si>
  <si>
    <t>total pages</t>
  </si>
  <si>
    <t xml:space="preserve">Gewicht </t>
  </si>
  <si>
    <t>weight</t>
  </si>
  <si>
    <t>volume</t>
  </si>
  <si>
    <t>Blattstärke</t>
  </si>
  <si>
    <t>sheet thickness</t>
  </si>
  <si>
    <t>Material</t>
  </si>
  <si>
    <t>material</t>
  </si>
  <si>
    <t>Textteil</t>
  </si>
  <si>
    <t>text section</t>
  </si>
  <si>
    <t>Bildteil</t>
  </si>
  <si>
    <t>picture section</t>
  </si>
  <si>
    <t>endleaf</t>
  </si>
  <si>
    <t>Bindeart</t>
  </si>
  <si>
    <t>binding method</t>
  </si>
  <si>
    <t>Seiten je Lage</t>
  </si>
  <si>
    <t>sheets per layer</t>
  </si>
  <si>
    <t>Klebebindung</t>
  </si>
  <si>
    <t xml:space="preserve">perfect-binding </t>
  </si>
  <si>
    <t>Fadenheftung</t>
  </si>
  <si>
    <t>thread-stitching</t>
  </si>
  <si>
    <t>Buchblock</t>
  </si>
  <si>
    <t>book block</t>
  </si>
  <si>
    <t>Broschuren</t>
  </si>
  <si>
    <t>brochure</t>
  </si>
  <si>
    <t>Umschlag</t>
  </si>
  <si>
    <t>cover</t>
  </si>
  <si>
    <t>Taschenbuch</t>
  </si>
  <si>
    <t>paperback</t>
  </si>
  <si>
    <t>Rückenbreite</t>
  </si>
  <si>
    <t>spine bulk</t>
  </si>
  <si>
    <t>Hardcover</t>
  </si>
  <si>
    <t>hardcover</t>
  </si>
  <si>
    <t>Pappe</t>
  </si>
  <si>
    <t>board</t>
  </si>
  <si>
    <t>round</t>
  </si>
  <si>
    <t>SmartCover</t>
  </si>
  <si>
    <t>smartcover</t>
  </si>
  <si>
    <t>Gesamtbreite</t>
  </si>
  <si>
    <t>total width</t>
  </si>
  <si>
    <t>Aufriss</t>
  </si>
  <si>
    <t>layout</t>
  </si>
  <si>
    <t>Kartonumschlag</t>
  </si>
  <si>
    <t>Papier</t>
  </si>
  <si>
    <t>paper</t>
  </si>
  <si>
    <t>Gesamthöhe</t>
  </si>
  <si>
    <t>total height</t>
  </si>
  <si>
    <t>Beschnittzugabe ringsrum</t>
  </si>
  <si>
    <t>bleed size</t>
  </si>
  <si>
    <t>keine Klappe</t>
  </si>
  <si>
    <t>no flap</t>
  </si>
  <si>
    <t>Klappenbroschur</t>
  </si>
  <si>
    <t>flap brochure</t>
  </si>
  <si>
    <t>Kantenumlauf</t>
  </si>
  <si>
    <t>edge circulation</t>
  </si>
  <si>
    <t>Formatbreite</t>
  </si>
  <si>
    <t>format width</t>
  </si>
  <si>
    <t>Formathöhe</t>
  </si>
  <si>
    <t>format height</t>
  </si>
  <si>
    <t>Schutzumschlag</t>
  </si>
  <si>
    <t>book jacket</t>
  </si>
  <si>
    <t>Bezug</t>
  </si>
  <si>
    <t>covering</t>
  </si>
  <si>
    <t>Falz</t>
  </si>
  <si>
    <t>fold</t>
  </si>
  <si>
    <t>einschlagen</t>
  </si>
  <si>
    <t>to fold in</t>
  </si>
  <si>
    <t xml:space="preserve">Unterlappung </t>
  </si>
  <si>
    <t>underlapping</t>
  </si>
  <si>
    <t>Sichtbarer Leinenstreifen</t>
  </si>
  <si>
    <t>visible clothback</t>
  </si>
  <si>
    <t>Mindestens</t>
  </si>
  <si>
    <t>minimum</t>
  </si>
  <si>
    <t>Text</t>
  </si>
  <si>
    <t>text</t>
  </si>
  <si>
    <t xml:space="preserve">Karton </t>
  </si>
  <si>
    <t>millboard</t>
  </si>
  <si>
    <t>Schrenzbreite</t>
  </si>
  <si>
    <t>spine strip width</t>
  </si>
  <si>
    <t>Schrenz</t>
  </si>
  <si>
    <t>spine strip</t>
  </si>
  <si>
    <t>gerade</t>
  </si>
  <si>
    <t>streight</t>
  </si>
  <si>
    <t>PVC-Decke</t>
  </si>
  <si>
    <t>PVC-jacket</t>
  </si>
  <si>
    <t>PVC-Materialstärke</t>
  </si>
  <si>
    <t>PVC-thickness</t>
  </si>
  <si>
    <t>Standard</t>
  </si>
  <si>
    <t>standard</t>
  </si>
  <si>
    <t>Seiten</t>
  </si>
  <si>
    <t>pages</t>
  </si>
  <si>
    <t>Klappenbreite</t>
  </si>
  <si>
    <t>flap width</t>
  </si>
  <si>
    <t>Klappenüberstand</t>
  </si>
  <si>
    <t>flap edge</t>
  </si>
  <si>
    <t>vorne</t>
  </si>
  <si>
    <t>front</t>
  </si>
  <si>
    <t>hinten</t>
  </si>
  <si>
    <t>back</t>
  </si>
  <si>
    <t>Überstand</t>
  </si>
  <si>
    <t>edge</t>
  </si>
  <si>
    <t>negative Werte = zurückversetzte Klappen</t>
  </si>
  <si>
    <t>minus value = stepback flap</t>
  </si>
  <si>
    <t>Kantenüberstand</t>
  </si>
  <si>
    <t>oben/unten</t>
  </si>
  <si>
    <t>top/bottom</t>
  </si>
  <si>
    <t>Pappen</t>
  </si>
  <si>
    <t>cardboard</t>
  </si>
  <si>
    <t>Rücken</t>
  </si>
  <si>
    <t>spine</t>
  </si>
  <si>
    <t>Klappe</t>
  </si>
  <si>
    <t>flap</t>
  </si>
  <si>
    <t>Rückeneinlage</t>
  </si>
  <si>
    <t>Kante</t>
  </si>
  <si>
    <t>Einschlag_ringsum</t>
  </si>
  <si>
    <t>bleed all around</t>
  </si>
  <si>
    <t>inkl.</t>
  </si>
  <si>
    <t>incl.</t>
  </si>
  <si>
    <t>Schweißnaht</t>
  </si>
  <si>
    <t>seam</t>
  </si>
  <si>
    <t>Schrittweite_in_Seiten</t>
  </si>
  <si>
    <t>pages step</t>
  </si>
  <si>
    <t>Blockbreite</t>
  </si>
  <si>
    <t>block width</t>
  </si>
  <si>
    <t>Barbara: Klappenbroschur mit bündigen Klappen + Wickelcover</t>
  </si>
  <si>
    <t>Barbata: flap brochure with flush flaps + wrap</t>
  </si>
  <si>
    <t>Halbleinenband</t>
  </si>
  <si>
    <t>covering with linen</t>
  </si>
  <si>
    <t>noch aktuell ist!</t>
  </si>
  <si>
    <t>Hier klicken um zu prüfen, ob die Version</t>
  </si>
  <si>
    <t xml:space="preserve">   3.22KD01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</si>
</sst>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8"/>
      <name val="Arial"/>
      <family val="2"/>
    </font>
    <font>
      <sz val="9"/>
      <name val="Century Gothic"/>
      <family val="2"/>
    </font>
    <font>
      <sz val="10"/>
      <color indexed="22"/>
      <name val="Century Gothic"/>
      <family val="2"/>
    </font>
    <font>
      <sz val="10"/>
      <color theme="0" tint="-0.34998626667073579"/>
      <name val="Century Gothic"/>
      <family val="2"/>
    </font>
    <font>
      <b/>
      <sz val="10"/>
      <color indexed="9"/>
      <name val="Century Gothic"/>
      <family val="2"/>
    </font>
    <font>
      <sz val="10"/>
      <color indexed="9"/>
      <name val="Century Gothic"/>
      <family val="2"/>
    </font>
    <font>
      <b/>
      <sz val="10"/>
      <color indexed="18"/>
      <name val="Century Gothic"/>
      <family val="2"/>
    </font>
    <font>
      <b/>
      <sz val="12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6"/>
      <name val="Century Gothic"/>
      <family val="2"/>
    </font>
    <font>
      <b/>
      <sz val="10"/>
      <color indexed="10"/>
      <name val="Century Gothic"/>
      <family val="2"/>
    </font>
    <font>
      <b/>
      <sz val="9"/>
      <name val="Century Gothic"/>
      <family val="2"/>
    </font>
    <font>
      <b/>
      <sz val="10"/>
      <color rgb="FFEC732C"/>
      <name val="Century Gothic"/>
      <family val="2"/>
    </font>
    <font>
      <b/>
      <sz val="10"/>
      <color rgb="FFE3E8A3"/>
      <name val="Century Gothic"/>
    </font>
    <font>
      <u/>
      <sz val="10"/>
      <color theme="10"/>
      <name val="Arial"/>
    </font>
    <font>
      <u/>
      <sz val="10"/>
      <color theme="11"/>
      <name val="Arial"/>
    </font>
    <font>
      <b/>
      <sz val="10"/>
      <color rgb="FFFF0000"/>
      <name val="Arial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3E8A3"/>
        <bgColor indexed="64"/>
      </patternFill>
    </fill>
    <fill>
      <patternFill patternType="solid">
        <fgColor rgb="FF97BE0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C14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46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/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67">
    <xf numFmtId="0" fontId="0" fillId="0" borderId="0" xfId="0"/>
    <xf numFmtId="0" fontId="2" fillId="0" borderId="0" xfId="0" applyFont="1"/>
    <xf numFmtId="0" fontId="1" fillId="0" borderId="0" xfId="0" applyFont="1" applyFill="1"/>
    <xf numFmtId="49" fontId="2" fillId="0" borderId="0" xfId="0" applyNumberFormat="1" applyFont="1"/>
    <xf numFmtId="49" fontId="0" fillId="0" borderId="0" xfId="0" applyNumberFormat="1"/>
    <xf numFmtId="0" fontId="0" fillId="3" borderId="0" xfId="0" applyFill="1"/>
    <xf numFmtId="0" fontId="3" fillId="0" borderId="0" xfId="0" applyFont="1"/>
    <xf numFmtId="0" fontId="5" fillId="0" borderId="0" xfId="0" applyFont="1" applyAlignment="1"/>
    <xf numFmtId="0" fontId="5" fillId="0" borderId="0" xfId="0" applyFont="1"/>
    <xf numFmtId="0" fontId="6" fillId="0" borderId="0" xfId="0" applyFont="1" applyAlignment="1">
      <alignment horizontal="right" indent="1"/>
    </xf>
    <xf numFmtId="0" fontId="3" fillId="0" borderId="0" xfId="0" applyFont="1" applyBorder="1"/>
    <xf numFmtId="0" fontId="3" fillId="0" borderId="1" xfId="0" applyFont="1" applyBorder="1" applyAlignment="1">
      <alignment horizontal="right" indent="1"/>
    </xf>
    <xf numFmtId="164" fontId="3" fillId="0" borderId="1" xfId="0" applyNumberFormat="1" applyFont="1" applyBorder="1" applyAlignment="1">
      <alignment horizontal="right" indent="1"/>
    </xf>
    <xf numFmtId="0" fontId="4" fillId="0" borderId="0" xfId="0" applyFont="1"/>
    <xf numFmtId="0" fontId="3" fillId="4" borderId="0" xfId="0" applyFont="1" applyFill="1" applyProtection="1"/>
    <xf numFmtId="0" fontId="3" fillId="0" borderId="0" xfId="0" applyFont="1" applyFill="1" applyProtection="1"/>
    <xf numFmtId="0" fontId="3" fillId="0" borderId="0" xfId="0" applyFont="1" applyProtection="1"/>
    <xf numFmtId="0" fontId="5" fillId="0" borderId="0" xfId="0" applyFont="1" applyProtection="1"/>
    <xf numFmtId="0" fontId="3" fillId="2" borderId="0" xfId="0" applyFont="1" applyFill="1"/>
    <xf numFmtId="0" fontId="8" fillId="0" borderId="0" xfId="0" applyFont="1" applyBorder="1" applyAlignment="1"/>
    <xf numFmtId="0" fontId="8" fillId="0" borderId="0" xfId="0" applyFont="1" applyBorder="1"/>
    <xf numFmtId="0" fontId="8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 applyAlignment="1">
      <alignment horizontal="left"/>
    </xf>
    <xf numFmtId="0" fontId="1" fillId="0" borderId="0" xfId="0" applyFont="1"/>
    <xf numFmtId="0" fontId="1" fillId="3" borderId="0" xfId="0" applyFont="1" applyFill="1"/>
    <xf numFmtId="0" fontId="6" fillId="0" borderId="0" xfId="0" applyFont="1" applyAlignment="1" applyProtection="1">
      <alignment horizontal="left"/>
      <protection locked="0"/>
    </xf>
    <xf numFmtId="0" fontId="3" fillId="0" borderId="0" xfId="0" applyFont="1" applyFill="1" applyProtection="1">
      <protection locked="0"/>
    </xf>
    <xf numFmtId="0" fontId="3" fillId="0" borderId="0" xfId="0" applyNumberFormat="1" applyFont="1" applyFill="1" applyProtection="1">
      <protection locked="0"/>
    </xf>
    <xf numFmtId="0" fontId="4" fillId="0" borderId="0" xfId="0" applyFont="1" applyFill="1" applyProtection="1">
      <protection locked="0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protection hidden="1"/>
    </xf>
    <xf numFmtId="0" fontId="14" fillId="0" borderId="0" xfId="0" applyFont="1"/>
    <xf numFmtId="0" fontId="4" fillId="0" borderId="0" xfId="0" applyFont="1" applyBorder="1"/>
    <xf numFmtId="0" fontId="4" fillId="0" borderId="0" xfId="0" applyFont="1" applyAlignment="1">
      <alignment horizontal="left"/>
    </xf>
    <xf numFmtId="0" fontId="15" fillId="0" borderId="0" xfId="0" applyNumberFormat="1" applyFont="1" applyAlignment="1">
      <alignment horizontal="left" vertical="top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quotePrefix="1" applyFont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49" fontId="15" fillId="0" borderId="0" xfId="0" applyNumberFormat="1" applyFont="1" applyAlignment="1">
      <alignment horizontal="left" vertical="top" wrapText="1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4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0" xfId="0" applyFont="1" applyProtection="1">
      <protection locked="0"/>
    </xf>
    <xf numFmtId="0" fontId="3" fillId="0" borderId="0" xfId="0" applyFont="1" applyAlignment="1">
      <alignment horizontal="left"/>
    </xf>
    <xf numFmtId="0" fontId="16" fillId="0" borderId="0" xfId="0" quotePrefix="1" applyFont="1" applyBorder="1"/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center" vertical="top"/>
    </xf>
    <xf numFmtId="0" fontId="15" fillId="0" borderId="12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center" wrapText="1"/>
    </xf>
    <xf numFmtId="0" fontId="4" fillId="0" borderId="2" xfId="0" applyFont="1" applyBorder="1"/>
    <xf numFmtId="0" fontId="8" fillId="0" borderId="0" xfId="0" quotePrefix="1" applyFont="1" applyBorder="1"/>
    <xf numFmtId="0" fontId="8" fillId="0" borderId="0" xfId="0" applyFont="1" applyAlignment="1">
      <alignment horizontal="center" vertical="top"/>
    </xf>
    <xf numFmtId="0" fontId="4" fillId="0" borderId="21" xfId="0" applyFont="1" applyBorder="1"/>
    <xf numFmtId="0" fontId="3" fillId="0" borderId="22" xfId="0" applyFont="1" applyBorder="1"/>
    <xf numFmtId="0" fontId="3" fillId="0" borderId="42" xfId="0" applyFont="1" applyBorder="1"/>
    <xf numFmtId="0" fontId="3" fillId="0" borderId="0" xfId="0" quotePrefix="1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16" fillId="0" borderId="9" xfId="0" applyFont="1" applyBorder="1" applyAlignment="1">
      <alignment horizontal="center"/>
    </xf>
    <xf numFmtId="0" fontId="17" fillId="0" borderId="0" xfId="0" applyFont="1" applyBorder="1"/>
    <xf numFmtId="0" fontId="18" fillId="0" borderId="0" xfId="0" applyFont="1" applyFill="1"/>
    <xf numFmtId="0" fontId="4" fillId="0" borderId="0" xfId="0" applyFont="1" applyFill="1"/>
    <xf numFmtId="0" fontId="4" fillId="0" borderId="11" xfId="0" applyFont="1" applyBorder="1" applyAlignment="1"/>
    <xf numFmtId="0" fontId="3" fillId="0" borderId="0" xfId="0" applyFont="1" applyFill="1" applyBorder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23" xfId="0" applyFont="1" applyBorder="1"/>
    <xf numFmtId="0" fontId="3" fillId="0" borderId="31" xfId="0" applyFont="1" applyBorder="1"/>
    <xf numFmtId="0" fontId="3" fillId="0" borderId="0" xfId="0" applyFont="1" applyBorder="1" applyAlignment="1">
      <alignment vertical="top" textRotation="90"/>
    </xf>
    <xf numFmtId="0" fontId="3" fillId="0" borderId="0" xfId="0" applyFont="1" applyFill="1"/>
    <xf numFmtId="0" fontId="3" fillId="0" borderId="0" xfId="0" applyFont="1" applyFill="1" applyBorder="1" applyAlignment="1">
      <alignment vertical="top" textRotation="90"/>
    </xf>
    <xf numFmtId="0" fontId="3" fillId="0" borderId="0" xfId="0" applyFont="1" applyFill="1" applyAlignment="1">
      <alignment horizontal="center"/>
    </xf>
    <xf numFmtId="0" fontId="14" fillId="0" borderId="0" xfId="0" applyFont="1" applyBorder="1"/>
    <xf numFmtId="0" fontId="3" fillId="0" borderId="32" xfId="0" applyFont="1" applyBorder="1"/>
    <xf numFmtId="0" fontId="3" fillId="0" borderId="34" xfId="0" applyFont="1" applyBorder="1"/>
    <xf numFmtId="0" fontId="19" fillId="0" borderId="11" xfId="0" applyFont="1" applyBorder="1" applyAlignment="1"/>
    <xf numFmtId="0" fontId="3" fillId="0" borderId="33" xfId="0" applyFont="1" applyBorder="1"/>
    <xf numFmtId="0" fontId="3" fillId="0" borderId="35" xfId="0" applyFont="1" applyBorder="1"/>
    <xf numFmtId="0" fontId="3" fillId="5" borderId="0" xfId="0" applyFont="1" applyFill="1"/>
    <xf numFmtId="0" fontId="9" fillId="5" borderId="0" xfId="0" applyFont="1" applyFill="1"/>
    <xf numFmtId="0" fontId="4" fillId="5" borderId="0" xfId="0" applyFont="1" applyFill="1"/>
    <xf numFmtId="0" fontId="11" fillId="6" borderId="0" xfId="0" applyFont="1" applyFill="1"/>
    <xf numFmtId="0" fontId="12" fillId="6" borderId="0" xfId="0" applyFont="1" applyFill="1"/>
    <xf numFmtId="0" fontId="3" fillId="7" borderId="0" xfId="0" applyFont="1" applyFill="1"/>
    <xf numFmtId="165" fontId="3" fillId="8" borderId="0" xfId="0" applyNumberFormat="1" applyFont="1" applyFill="1" applyProtection="1"/>
    <xf numFmtId="0" fontId="13" fillId="8" borderId="0" xfId="0" applyFont="1" applyFill="1"/>
    <xf numFmtId="0" fontId="20" fillId="5" borderId="0" xfId="0" applyFont="1" applyFill="1"/>
    <xf numFmtId="0" fontId="4" fillId="5" borderId="0" xfId="0" applyFont="1" applyFill="1" applyAlignment="1">
      <alignment vertical="center"/>
    </xf>
    <xf numFmtId="0" fontId="9" fillId="7" borderId="0" xfId="0" applyFont="1" applyFill="1"/>
    <xf numFmtId="49" fontId="10" fillId="7" borderId="0" xfId="0" applyNumberFormat="1" applyFont="1" applyFill="1" applyAlignment="1">
      <alignment horizontal="right"/>
    </xf>
    <xf numFmtId="0" fontId="3" fillId="9" borderId="0" xfId="0" applyFont="1" applyFill="1" applyProtection="1">
      <protection locked="0"/>
    </xf>
    <xf numFmtId="0" fontId="3" fillId="7" borderId="0" xfId="0" applyFont="1" applyFill="1" applyAlignment="1">
      <alignment horizontal="right"/>
    </xf>
    <xf numFmtId="0" fontId="4" fillId="0" borderId="43" xfId="0" applyFont="1" applyBorder="1" applyAlignment="1"/>
    <xf numFmtId="0" fontId="16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14" fontId="3" fillId="0" borderId="0" xfId="0" applyNumberFormat="1" applyFont="1"/>
    <xf numFmtId="0" fontId="3" fillId="7" borderId="0" xfId="0" applyNumberFormat="1" applyFont="1" applyFill="1"/>
    <xf numFmtId="0" fontId="3" fillId="10" borderId="0" xfId="0" applyFont="1" applyFill="1"/>
    <xf numFmtId="0" fontId="3" fillId="7" borderId="0" xfId="0" applyFont="1" applyFill="1" applyProtection="1"/>
    <xf numFmtId="0" fontId="24" fillId="7" borderId="0" xfId="3" applyNumberFormat="1" applyFont="1" applyFill="1"/>
    <xf numFmtId="49" fontId="21" fillId="6" borderId="0" xfId="0" applyNumberFormat="1" applyFont="1" applyFill="1" applyAlignment="1">
      <alignment horizontal="left"/>
    </xf>
    <xf numFmtId="0" fontId="3" fillId="0" borderId="0" xfId="0" applyFont="1" applyAlignment="1"/>
    <xf numFmtId="0" fontId="3" fillId="9" borderId="0" xfId="0" applyFont="1" applyFill="1" applyAlignment="1" applyProtection="1">
      <protection locked="0"/>
    </xf>
    <xf numFmtId="0" fontId="19" fillId="0" borderId="45" xfId="0" applyFont="1" applyBorder="1" applyAlignment="1">
      <alignment horizontal="center" vertical="center" textRotation="90"/>
    </xf>
    <xf numFmtId="0" fontId="19" fillId="0" borderId="44" xfId="0" applyFont="1" applyBorder="1" applyAlignment="1">
      <alignment horizontal="center" vertical="center" textRotation="90"/>
    </xf>
    <xf numFmtId="0" fontId="15" fillId="0" borderId="11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top"/>
    </xf>
    <xf numFmtId="0" fontId="15" fillId="0" borderId="44" xfId="0" applyFont="1" applyBorder="1" applyAlignment="1">
      <alignment horizontal="center" vertical="top"/>
    </xf>
    <xf numFmtId="0" fontId="15" fillId="0" borderId="11" xfId="0" applyFont="1" applyBorder="1" applyAlignment="1">
      <alignment horizontal="left" vertical="center"/>
    </xf>
    <xf numFmtId="0" fontId="15" fillId="0" borderId="44" xfId="0" applyFont="1" applyBorder="1" applyAlignment="1">
      <alignment horizontal="left" vertical="center"/>
    </xf>
    <xf numFmtId="0" fontId="15" fillId="0" borderId="3" xfId="0" applyFont="1" applyBorder="1" applyAlignment="1">
      <alignment horizontal="center"/>
    </xf>
    <xf numFmtId="0" fontId="4" fillId="0" borderId="36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center" textRotation="90"/>
    </xf>
    <xf numFmtId="0" fontId="4" fillId="0" borderId="0" xfId="0" applyFont="1" applyBorder="1" applyAlignment="1">
      <alignment horizontal="center" textRotation="90"/>
    </xf>
    <xf numFmtId="0" fontId="3" fillId="0" borderId="0" xfId="0" applyFont="1" applyFill="1" applyAlignment="1" applyProtection="1">
      <protection locked="0"/>
    </xf>
    <xf numFmtId="0" fontId="3" fillId="0" borderId="0" xfId="0" applyFont="1" applyAlignment="1" applyProtection="1">
      <protection locked="0"/>
    </xf>
    <xf numFmtId="0" fontId="8" fillId="0" borderId="37" xfId="0" applyFont="1" applyBorder="1" applyAlignment="1">
      <alignment horizontal="center" textRotation="90"/>
    </xf>
    <xf numFmtId="0" fontId="8" fillId="0" borderId="38" xfId="0" applyFont="1" applyBorder="1" applyAlignment="1"/>
    <xf numFmtId="0" fontId="8" fillId="0" borderId="39" xfId="0" applyFont="1" applyBorder="1" applyAlignment="1"/>
    <xf numFmtId="0" fontId="8" fillId="0" borderId="40" xfId="0" applyFont="1" applyBorder="1" applyAlignment="1">
      <alignment horizontal="center" textRotation="90"/>
    </xf>
    <xf numFmtId="0" fontId="8" fillId="0" borderId="36" xfId="0" applyFont="1" applyBorder="1" applyAlignment="1">
      <alignment horizontal="center" textRotation="90"/>
    </xf>
    <xf numFmtId="0" fontId="8" fillId="0" borderId="41" xfId="0" applyFont="1" applyBorder="1" applyAlignment="1">
      <alignment horizontal="center" textRotation="90"/>
    </xf>
    <xf numFmtId="0" fontId="19" fillId="0" borderId="0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horizontal="center" textRotation="90"/>
    </xf>
    <xf numFmtId="0" fontId="3" fillId="0" borderId="0" xfId="0" applyFont="1" applyBorder="1" applyAlignment="1">
      <alignment horizontal="center" textRotation="90"/>
    </xf>
    <xf numFmtId="0" fontId="8" fillId="0" borderId="38" xfId="0" applyFont="1" applyBorder="1" applyAlignment="1">
      <alignment horizontal="center" textRotation="90"/>
    </xf>
    <xf numFmtId="0" fontId="8" fillId="0" borderId="39" xfId="0" applyFont="1" applyBorder="1" applyAlignment="1">
      <alignment horizontal="center" textRotation="90"/>
    </xf>
    <xf numFmtId="0" fontId="8" fillId="0" borderId="7" xfId="0" applyFont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15" xfId="0" applyFont="1" applyBorder="1" applyAlignment="1">
      <alignment horizontal="center" textRotation="90"/>
    </xf>
    <xf numFmtId="0" fontId="19" fillId="0" borderId="12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textRotation="90" shrinkToFit="1"/>
    </xf>
    <xf numFmtId="0" fontId="3" fillId="0" borderId="0" xfId="0" applyFont="1" applyBorder="1" applyAlignment="1">
      <alignment horizontal="center" textRotation="90" shrinkToFit="1"/>
    </xf>
    <xf numFmtId="0" fontId="3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protection locked="0"/>
    </xf>
  </cellXfs>
  <cellStyles count="4">
    <cellStyle name="Besuchter Link" xfId="2" builtinId="9" hidden="1"/>
    <cellStyle name="Link" xfId="1" builtinId="8" hidden="1"/>
    <cellStyle name="Link" xfId="3" builtinId="8"/>
    <cellStyle name="Standard" xfId="0" builtinId="0"/>
  </cellStyles>
  <dxfs count="4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 patternType="solid">
          <fgColor indexed="64"/>
          <bgColor indexed="43"/>
        </patternFill>
      </fill>
    </dxf>
    <dxf>
      <fill>
        <patternFill patternType="solid">
          <fgColor indexed="64"/>
          <bgColor indexed="43"/>
        </patternFill>
      </fill>
    </dxf>
    <dxf>
      <fill>
        <patternFill patternType="solid">
          <fgColor indexed="64"/>
          <bgColor indexed="43"/>
        </patternFill>
      </fill>
    </dxf>
    <dxf>
      <fill>
        <patternFill patternType="solid">
          <fgColor indexed="64"/>
          <bgColor indexed="43"/>
        </patternFill>
      </fill>
    </dxf>
    <dxf>
      <fill>
        <patternFill patternType="solid">
          <fgColor indexed="64"/>
          <bgColor indexed="43"/>
        </patternFill>
      </fill>
    </dxf>
    <dxf>
      <fill>
        <patternFill patternType="solid">
          <fgColor indexed="64"/>
          <bgColor indexed="43"/>
        </patternFill>
      </fill>
    </dxf>
    <dxf>
      <fill>
        <patternFill patternType="solid">
          <fgColor indexed="64"/>
          <bgColor indexed="43"/>
        </patternFill>
      </fill>
    </dxf>
    <dxf>
      <fill>
        <patternFill patternType="solid">
          <fgColor indexed="64"/>
          <bgColor indexed="43"/>
        </patternFill>
      </fill>
    </dxf>
    <dxf>
      <fill>
        <patternFill patternType="solid">
          <fgColor indexed="64"/>
          <bgColor indexed="43"/>
        </patternFill>
      </fill>
    </dxf>
    <dxf>
      <fill>
        <patternFill patternType="solid">
          <fgColor indexed="64"/>
          <bgColor indexed="43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ill>
        <patternFill>
          <bgColor indexed="47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mruColors>
      <color rgb="FFE3E8A3"/>
      <color rgb="FFEC732C"/>
      <color rgb="FFFAC14E"/>
      <color rgb="FF97BE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externalLink" Target="externalLinks/externalLink1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Relationship Id="rId2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149225</xdr:colOff>
      <xdr:row>0</xdr:row>
      <xdr:rowOff>66674</xdr:rowOff>
    </xdr:from>
    <xdr:to>
      <xdr:col>7</xdr:col>
      <xdr:colOff>1103596</xdr:colOff>
      <xdr:row>5</xdr:row>
      <xdr:rowOff>48007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0425" y="66674"/>
          <a:ext cx="954371" cy="806833"/>
        </a:xfrm>
        <a:prstGeom prst="rect">
          <a:avLst/>
        </a:prstGeom>
        <a:effectLst>
          <a:glow>
            <a:srgbClr val="E3E8A3"/>
          </a:glow>
          <a:softEdge rad="0"/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161925</xdr:colOff>
      <xdr:row>3</xdr:row>
      <xdr:rowOff>19050</xdr:rowOff>
    </xdr:from>
    <xdr:to>
      <xdr:col>14</xdr:col>
      <xdr:colOff>0</xdr:colOff>
      <xdr:row>6</xdr:row>
      <xdr:rowOff>9525</xdr:rowOff>
    </xdr:to>
    <xdr:pic>
      <xdr:nvPicPr>
        <xdr:cNvPr id="17412" name="Picture 5" descr="CPI_1_bis_1_Million">
          <a:extLst>
            <a:ext uri="{FF2B5EF4-FFF2-40B4-BE49-F238E27FC236}">
              <a16:creationId xmlns:a16="http://schemas.microsoft.com/office/drawing/2014/main" xmlns="" id="{00000000-0008-0000-0A00-000004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609600"/>
          <a:ext cx="10477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178521</xdr:colOff>
      <xdr:row>3</xdr:row>
      <xdr:rowOff>19050</xdr:rowOff>
    </xdr:from>
    <xdr:to>
      <xdr:col>13</xdr:col>
      <xdr:colOff>511234</xdr:colOff>
      <xdr:row>6</xdr:row>
      <xdr:rowOff>4650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36246" y="609600"/>
          <a:ext cx="1028038" cy="90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7</xdr:row>
      <xdr:rowOff>85725</xdr:rowOff>
    </xdr:from>
    <xdr:to>
      <xdr:col>5</xdr:col>
      <xdr:colOff>1371600</xdr:colOff>
      <xdr:row>9</xdr:row>
      <xdr:rowOff>38100</xdr:rowOff>
    </xdr:to>
    <xdr:sp macro="" textlink="">
      <xdr:nvSpPr>
        <xdr:cNvPr id="5172" name="Line 10">
          <a:extLst>
            <a:ext uri="{FF2B5EF4-FFF2-40B4-BE49-F238E27FC236}">
              <a16:creationId xmlns:a16="http://schemas.microsoft.com/office/drawing/2014/main" xmlns="" id="{00000000-0008-0000-0200-000034140000}"/>
            </a:ext>
          </a:extLst>
        </xdr:cNvPr>
        <xdr:cNvSpPr>
          <a:spLocks noChangeShapeType="1"/>
        </xdr:cNvSpPr>
      </xdr:nvSpPr>
      <xdr:spPr bwMode="auto">
        <a:xfrm flipH="1">
          <a:off x="4657725" y="1333500"/>
          <a:ext cx="1247775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14</xdr:row>
      <xdr:rowOff>38100</xdr:rowOff>
    </xdr:from>
    <xdr:to>
      <xdr:col>2</xdr:col>
      <xdr:colOff>1047750</xdr:colOff>
      <xdr:row>14</xdr:row>
      <xdr:rowOff>38100</xdr:rowOff>
    </xdr:to>
    <xdr:sp macro="" textlink="">
      <xdr:nvSpPr>
        <xdr:cNvPr id="5173" name="Line 11">
          <a:extLst>
            <a:ext uri="{FF2B5EF4-FFF2-40B4-BE49-F238E27FC236}">
              <a16:creationId xmlns:a16="http://schemas.microsoft.com/office/drawing/2014/main" xmlns="" id="{00000000-0008-0000-0200-000035140000}"/>
            </a:ext>
          </a:extLst>
        </xdr:cNvPr>
        <xdr:cNvSpPr>
          <a:spLocks noChangeShapeType="1"/>
        </xdr:cNvSpPr>
      </xdr:nvSpPr>
      <xdr:spPr bwMode="auto">
        <a:xfrm flipH="1">
          <a:off x="1038225" y="3000375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209550</xdr:colOff>
      <xdr:row>14</xdr:row>
      <xdr:rowOff>38100</xdr:rowOff>
    </xdr:from>
    <xdr:to>
      <xdr:col>3</xdr:col>
      <xdr:colOff>1381125</xdr:colOff>
      <xdr:row>14</xdr:row>
      <xdr:rowOff>38100</xdr:rowOff>
    </xdr:to>
    <xdr:sp macro="" textlink="">
      <xdr:nvSpPr>
        <xdr:cNvPr id="5174" name="Line 12">
          <a:extLst>
            <a:ext uri="{FF2B5EF4-FFF2-40B4-BE49-F238E27FC236}">
              <a16:creationId xmlns:a16="http://schemas.microsoft.com/office/drawing/2014/main" xmlns="" id="{00000000-0008-0000-0200-000036140000}"/>
            </a:ext>
          </a:extLst>
        </xdr:cNvPr>
        <xdr:cNvSpPr>
          <a:spLocks noChangeShapeType="1"/>
        </xdr:cNvSpPr>
      </xdr:nvSpPr>
      <xdr:spPr bwMode="auto">
        <a:xfrm>
          <a:off x="2628900" y="3000375"/>
          <a:ext cx="1171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14</xdr:row>
      <xdr:rowOff>38100</xdr:rowOff>
    </xdr:from>
    <xdr:to>
      <xdr:col>5</xdr:col>
      <xdr:colOff>1047750</xdr:colOff>
      <xdr:row>14</xdr:row>
      <xdr:rowOff>38100</xdr:rowOff>
    </xdr:to>
    <xdr:sp macro="" textlink="">
      <xdr:nvSpPr>
        <xdr:cNvPr id="5175" name="Line 13">
          <a:extLst>
            <a:ext uri="{FF2B5EF4-FFF2-40B4-BE49-F238E27FC236}">
              <a16:creationId xmlns:a16="http://schemas.microsoft.com/office/drawing/2014/main" xmlns="" id="{00000000-0008-0000-0200-000037140000}"/>
            </a:ext>
          </a:extLst>
        </xdr:cNvPr>
        <xdr:cNvSpPr>
          <a:spLocks noChangeShapeType="1"/>
        </xdr:cNvSpPr>
      </xdr:nvSpPr>
      <xdr:spPr bwMode="auto">
        <a:xfrm flipH="1">
          <a:off x="4314825" y="3000375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209550</xdr:colOff>
      <xdr:row>14</xdr:row>
      <xdr:rowOff>38100</xdr:rowOff>
    </xdr:from>
    <xdr:to>
      <xdr:col>6</xdr:col>
      <xdr:colOff>1381125</xdr:colOff>
      <xdr:row>14</xdr:row>
      <xdr:rowOff>38100</xdr:rowOff>
    </xdr:to>
    <xdr:sp macro="" textlink="">
      <xdr:nvSpPr>
        <xdr:cNvPr id="5176" name="Line 14">
          <a:extLst>
            <a:ext uri="{FF2B5EF4-FFF2-40B4-BE49-F238E27FC236}">
              <a16:creationId xmlns:a16="http://schemas.microsoft.com/office/drawing/2014/main" xmlns="" id="{00000000-0008-0000-0200-000038140000}"/>
            </a:ext>
          </a:extLst>
        </xdr:cNvPr>
        <xdr:cNvSpPr>
          <a:spLocks noChangeShapeType="1"/>
        </xdr:cNvSpPr>
      </xdr:nvSpPr>
      <xdr:spPr bwMode="auto">
        <a:xfrm>
          <a:off x="5905500" y="3000375"/>
          <a:ext cx="1171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200025</xdr:colOff>
      <xdr:row>10</xdr:row>
      <xdr:rowOff>28575</xdr:rowOff>
    </xdr:from>
    <xdr:to>
      <xdr:col>2</xdr:col>
      <xdr:colOff>200025</xdr:colOff>
      <xdr:row>16</xdr:row>
      <xdr:rowOff>285750</xdr:rowOff>
    </xdr:to>
    <xdr:sp macro="" textlink="">
      <xdr:nvSpPr>
        <xdr:cNvPr id="5177" name="Line 15">
          <a:extLst>
            <a:ext uri="{FF2B5EF4-FFF2-40B4-BE49-F238E27FC236}">
              <a16:creationId xmlns:a16="http://schemas.microsoft.com/office/drawing/2014/main" xmlns="" id="{00000000-0008-0000-0200-000039140000}"/>
            </a:ext>
          </a:extLst>
        </xdr:cNvPr>
        <xdr:cNvSpPr>
          <a:spLocks noChangeShapeType="1"/>
        </xdr:cNvSpPr>
      </xdr:nvSpPr>
      <xdr:spPr bwMode="auto">
        <a:xfrm flipV="1">
          <a:off x="1238250" y="1733550"/>
          <a:ext cx="0" cy="2143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209550</xdr:colOff>
      <xdr:row>18</xdr:row>
      <xdr:rowOff>85725</xdr:rowOff>
    </xdr:from>
    <xdr:to>
      <xdr:col>2</xdr:col>
      <xdr:colOff>209550</xdr:colOff>
      <xdr:row>25</xdr:row>
      <xdr:rowOff>257175</xdr:rowOff>
    </xdr:to>
    <xdr:sp macro="" textlink="">
      <xdr:nvSpPr>
        <xdr:cNvPr id="5178" name="Line 16">
          <a:extLst>
            <a:ext uri="{FF2B5EF4-FFF2-40B4-BE49-F238E27FC236}">
              <a16:creationId xmlns:a16="http://schemas.microsoft.com/office/drawing/2014/main" xmlns="" id="{00000000-0008-0000-0200-00003A140000}"/>
            </a:ext>
          </a:extLst>
        </xdr:cNvPr>
        <xdr:cNvSpPr>
          <a:spLocks noChangeShapeType="1"/>
        </xdr:cNvSpPr>
      </xdr:nvSpPr>
      <xdr:spPr bwMode="auto">
        <a:xfrm>
          <a:off x="1247775" y="4305300"/>
          <a:ext cx="0" cy="2371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927100</xdr:colOff>
      <xdr:row>8</xdr:row>
      <xdr:rowOff>139700</xdr:rowOff>
    </xdr:from>
    <xdr:to>
      <xdr:col>0</xdr:col>
      <xdr:colOff>1092200</xdr:colOff>
      <xdr:row>27</xdr:row>
      <xdr:rowOff>12700</xdr:rowOff>
    </xdr:to>
    <xdr:sp macro="" textlink="">
      <xdr:nvSpPr>
        <xdr:cNvPr id="5121" name="Object 1" hidden="1">
          <a:extLst>
            <a:ext uri="{63B3BB69-23CF-44E3-9099-C40C66FF867C}">
              <a14:compatExt xmlns:a14="http://schemas.microsoft.com/office/drawing/2010/main" spid="_x0000_s5121"/>
            </a:ext>
            <a:ext uri="{FF2B5EF4-FFF2-40B4-BE49-F238E27FC236}">
              <a16:creationId xmlns:a16="http://schemas.microsoft.com/office/drawing/2014/main" xmlns="" id="{00000000-0008-0000-0200-0000011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977900</xdr:colOff>
      <xdr:row>27</xdr:row>
      <xdr:rowOff>25400</xdr:rowOff>
    </xdr:from>
    <xdr:to>
      <xdr:col>7</xdr:col>
      <xdr:colOff>25400</xdr:colOff>
      <xdr:row>28</xdr:row>
      <xdr:rowOff>25400</xdr:rowOff>
    </xdr:to>
    <xdr:sp macro="" textlink="">
      <xdr:nvSpPr>
        <xdr:cNvPr id="5122" name="Object 2" hidden="1">
          <a:extLst>
            <a:ext uri="{63B3BB69-23CF-44E3-9099-C40C66FF867C}">
              <a14:compatExt xmlns:a14="http://schemas.microsoft.com/office/drawing/2010/main" spid="_x0000_s5122"/>
            </a:ext>
            <a:ext uri="{FF2B5EF4-FFF2-40B4-BE49-F238E27FC236}">
              <a16:creationId xmlns:a16="http://schemas.microsoft.com/office/drawing/2014/main" xmlns="" id="{00000000-0008-0000-0200-0000021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6</xdr:col>
      <xdr:colOff>161925</xdr:colOff>
      <xdr:row>0</xdr:row>
      <xdr:rowOff>104775</xdr:rowOff>
    </xdr:from>
    <xdr:to>
      <xdr:col>7</xdr:col>
      <xdr:colOff>9525</xdr:colOff>
      <xdr:row>6</xdr:row>
      <xdr:rowOff>123825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xmlns="" id="{CD1B6644-A682-40EF-B555-6B6E68CCF520}"/>
            </a:ext>
            <a:ext uri="{147F2762-F138-4A5C-976F-8EAC2B608ADB}">
              <a16:predDERef xmlns:a16="http://schemas.microsoft.com/office/drawing/2014/main" xmlns="" pred="{00000000-0008-0000-0200-00000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6950" y="104775"/>
          <a:ext cx="1228725" cy="1066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23</xdr:row>
      <xdr:rowOff>0</xdr:rowOff>
    </xdr:from>
    <xdr:to>
      <xdr:col>3</xdr:col>
      <xdr:colOff>723900</xdr:colOff>
      <xdr:row>23</xdr:row>
      <xdr:rowOff>0</xdr:rowOff>
    </xdr:to>
    <xdr:sp macro="" textlink="">
      <xdr:nvSpPr>
        <xdr:cNvPr id="6170" name="Line 2">
          <a:extLst>
            <a:ext uri="{FF2B5EF4-FFF2-40B4-BE49-F238E27FC236}">
              <a16:creationId xmlns:a16="http://schemas.microsoft.com/office/drawing/2014/main" xmlns="" id="{00000000-0008-0000-0300-00001A180000}"/>
            </a:ext>
          </a:extLst>
        </xdr:cNvPr>
        <xdr:cNvSpPr>
          <a:spLocks noChangeShapeType="1"/>
        </xdr:cNvSpPr>
      </xdr:nvSpPr>
      <xdr:spPr bwMode="auto">
        <a:xfrm flipH="1">
          <a:off x="2609850" y="4495800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276225</xdr:colOff>
      <xdr:row>23</xdr:row>
      <xdr:rowOff>0</xdr:rowOff>
    </xdr:from>
    <xdr:to>
      <xdr:col>4</xdr:col>
      <xdr:colOff>1047750</xdr:colOff>
      <xdr:row>23</xdr:row>
      <xdr:rowOff>0</xdr:rowOff>
    </xdr:to>
    <xdr:sp macro="" textlink="">
      <xdr:nvSpPr>
        <xdr:cNvPr id="6171" name="Line 3">
          <a:extLst>
            <a:ext uri="{FF2B5EF4-FFF2-40B4-BE49-F238E27FC236}">
              <a16:creationId xmlns:a16="http://schemas.microsoft.com/office/drawing/2014/main" xmlns="" id="{00000000-0008-0000-0300-00001B180000}"/>
            </a:ext>
          </a:extLst>
        </xdr:cNvPr>
        <xdr:cNvSpPr>
          <a:spLocks noChangeShapeType="1"/>
        </xdr:cNvSpPr>
      </xdr:nvSpPr>
      <xdr:spPr bwMode="auto">
        <a:xfrm>
          <a:off x="3933825" y="449580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22</xdr:row>
      <xdr:rowOff>276225</xdr:rowOff>
    </xdr:from>
    <xdr:to>
      <xdr:col>6</xdr:col>
      <xdr:colOff>704850</xdr:colOff>
      <xdr:row>22</xdr:row>
      <xdr:rowOff>276225</xdr:rowOff>
    </xdr:to>
    <xdr:sp macro="" textlink="">
      <xdr:nvSpPr>
        <xdr:cNvPr id="6172" name="Line 4">
          <a:extLst>
            <a:ext uri="{FF2B5EF4-FFF2-40B4-BE49-F238E27FC236}">
              <a16:creationId xmlns:a16="http://schemas.microsoft.com/office/drawing/2014/main" xmlns="" id="{00000000-0008-0000-0300-00001C180000}"/>
            </a:ext>
          </a:extLst>
        </xdr:cNvPr>
        <xdr:cNvSpPr>
          <a:spLocks noChangeShapeType="1"/>
        </xdr:cNvSpPr>
      </xdr:nvSpPr>
      <xdr:spPr bwMode="auto">
        <a:xfrm flipH="1">
          <a:off x="5229225" y="449580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323850</xdr:colOff>
      <xdr:row>22</xdr:row>
      <xdr:rowOff>276225</xdr:rowOff>
    </xdr:from>
    <xdr:to>
      <xdr:col>7</xdr:col>
      <xdr:colOff>1047750</xdr:colOff>
      <xdr:row>22</xdr:row>
      <xdr:rowOff>276225</xdr:rowOff>
    </xdr:to>
    <xdr:sp macro="" textlink="">
      <xdr:nvSpPr>
        <xdr:cNvPr id="6173" name="Line 5">
          <a:extLst>
            <a:ext uri="{FF2B5EF4-FFF2-40B4-BE49-F238E27FC236}">
              <a16:creationId xmlns:a16="http://schemas.microsoft.com/office/drawing/2014/main" xmlns="" id="{00000000-0008-0000-0300-00001D180000}"/>
            </a:ext>
          </a:extLst>
        </xdr:cNvPr>
        <xdr:cNvSpPr>
          <a:spLocks noChangeShapeType="1"/>
        </xdr:cNvSpPr>
      </xdr:nvSpPr>
      <xdr:spPr bwMode="auto">
        <a:xfrm>
          <a:off x="6591300" y="4495800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16</xdr:row>
      <xdr:rowOff>28575</xdr:rowOff>
    </xdr:from>
    <xdr:to>
      <xdr:col>3</xdr:col>
      <xdr:colOff>200025</xdr:colOff>
      <xdr:row>21</xdr:row>
      <xdr:rowOff>9525</xdr:rowOff>
    </xdr:to>
    <xdr:sp macro="" textlink="">
      <xdr:nvSpPr>
        <xdr:cNvPr id="6174" name="Line 14">
          <a:extLst>
            <a:ext uri="{FF2B5EF4-FFF2-40B4-BE49-F238E27FC236}">
              <a16:creationId xmlns:a16="http://schemas.microsoft.com/office/drawing/2014/main" xmlns="" id="{00000000-0008-0000-0300-00001E180000}"/>
            </a:ext>
          </a:extLst>
        </xdr:cNvPr>
        <xdr:cNvSpPr>
          <a:spLocks noChangeShapeType="1"/>
        </xdr:cNvSpPr>
      </xdr:nvSpPr>
      <xdr:spPr bwMode="auto">
        <a:xfrm flipH="1" flipV="1">
          <a:off x="2809875" y="2590800"/>
          <a:ext cx="0" cy="1362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238125</xdr:rowOff>
    </xdr:from>
    <xdr:to>
      <xdr:col>3</xdr:col>
      <xdr:colOff>200025</xdr:colOff>
      <xdr:row>31</xdr:row>
      <xdr:rowOff>266700</xdr:rowOff>
    </xdr:to>
    <xdr:sp macro="" textlink="">
      <xdr:nvSpPr>
        <xdr:cNvPr id="6175" name="Line 15">
          <a:extLst>
            <a:ext uri="{FF2B5EF4-FFF2-40B4-BE49-F238E27FC236}">
              <a16:creationId xmlns:a16="http://schemas.microsoft.com/office/drawing/2014/main" xmlns="" id="{00000000-0008-0000-0300-00001F180000}"/>
            </a:ext>
          </a:extLst>
        </xdr:cNvPr>
        <xdr:cNvSpPr>
          <a:spLocks noChangeShapeType="1"/>
        </xdr:cNvSpPr>
      </xdr:nvSpPr>
      <xdr:spPr bwMode="auto">
        <a:xfrm>
          <a:off x="2809875" y="4181475"/>
          <a:ext cx="0" cy="2790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142875</xdr:colOff>
      <xdr:row>23</xdr:row>
      <xdr:rowOff>0</xdr:rowOff>
    </xdr:from>
    <xdr:to>
      <xdr:col>2</xdr:col>
      <xdr:colOff>476250</xdr:colOff>
      <xdr:row>23</xdr:row>
      <xdr:rowOff>0</xdr:rowOff>
    </xdr:to>
    <xdr:sp macro="" textlink="">
      <xdr:nvSpPr>
        <xdr:cNvPr id="6176" name="Line 16">
          <a:extLst>
            <a:ext uri="{FF2B5EF4-FFF2-40B4-BE49-F238E27FC236}">
              <a16:creationId xmlns:a16="http://schemas.microsoft.com/office/drawing/2014/main" xmlns="" id="{00000000-0008-0000-0300-000020180000}"/>
            </a:ext>
          </a:extLst>
        </xdr:cNvPr>
        <xdr:cNvSpPr>
          <a:spLocks noChangeShapeType="1"/>
        </xdr:cNvSpPr>
      </xdr:nvSpPr>
      <xdr:spPr bwMode="auto">
        <a:xfrm flipH="1">
          <a:off x="1095375" y="449580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1047750</xdr:colOff>
      <xdr:row>22</xdr:row>
      <xdr:rowOff>276225</xdr:rowOff>
    </xdr:from>
    <xdr:to>
      <xdr:col>2</xdr:col>
      <xdr:colOff>1504950</xdr:colOff>
      <xdr:row>22</xdr:row>
      <xdr:rowOff>276225</xdr:rowOff>
    </xdr:to>
    <xdr:sp macro="" textlink="">
      <xdr:nvSpPr>
        <xdr:cNvPr id="6177" name="Line 17">
          <a:extLst>
            <a:ext uri="{FF2B5EF4-FFF2-40B4-BE49-F238E27FC236}">
              <a16:creationId xmlns:a16="http://schemas.microsoft.com/office/drawing/2014/main" xmlns="" id="{00000000-0008-0000-0300-000021180000}"/>
            </a:ext>
          </a:extLst>
        </xdr:cNvPr>
        <xdr:cNvSpPr>
          <a:spLocks noChangeShapeType="1"/>
        </xdr:cNvSpPr>
      </xdr:nvSpPr>
      <xdr:spPr bwMode="auto">
        <a:xfrm>
          <a:off x="2143125" y="449580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22</xdr:row>
      <xdr:rowOff>276225</xdr:rowOff>
    </xdr:from>
    <xdr:to>
      <xdr:col>8</xdr:col>
      <xdr:colOff>476250</xdr:colOff>
      <xdr:row>22</xdr:row>
      <xdr:rowOff>276225</xdr:rowOff>
    </xdr:to>
    <xdr:sp macro="" textlink="">
      <xdr:nvSpPr>
        <xdr:cNvPr id="6178" name="Line 18">
          <a:extLst>
            <a:ext uri="{FF2B5EF4-FFF2-40B4-BE49-F238E27FC236}">
              <a16:creationId xmlns:a16="http://schemas.microsoft.com/office/drawing/2014/main" xmlns="" id="{00000000-0008-0000-0300-000022180000}"/>
            </a:ext>
          </a:extLst>
        </xdr:cNvPr>
        <xdr:cNvSpPr>
          <a:spLocks noChangeShapeType="1"/>
        </xdr:cNvSpPr>
      </xdr:nvSpPr>
      <xdr:spPr bwMode="auto">
        <a:xfrm flipH="1">
          <a:off x="7315200" y="449580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1047750</xdr:colOff>
      <xdr:row>23</xdr:row>
      <xdr:rowOff>0</xdr:rowOff>
    </xdr:from>
    <xdr:to>
      <xdr:col>8</xdr:col>
      <xdr:colOff>1504950</xdr:colOff>
      <xdr:row>23</xdr:row>
      <xdr:rowOff>0</xdr:rowOff>
    </xdr:to>
    <xdr:sp macro="" textlink="">
      <xdr:nvSpPr>
        <xdr:cNvPr id="6179" name="Line 19">
          <a:extLst>
            <a:ext uri="{FF2B5EF4-FFF2-40B4-BE49-F238E27FC236}">
              <a16:creationId xmlns:a16="http://schemas.microsoft.com/office/drawing/2014/main" xmlns="" id="{00000000-0008-0000-0300-000023180000}"/>
            </a:ext>
          </a:extLst>
        </xdr:cNvPr>
        <xdr:cNvSpPr>
          <a:spLocks noChangeShapeType="1"/>
        </xdr:cNvSpPr>
      </xdr:nvSpPr>
      <xdr:spPr bwMode="auto">
        <a:xfrm>
          <a:off x="8362950" y="449580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939800</xdr:colOff>
      <xdr:row>33</xdr:row>
      <xdr:rowOff>12700</xdr:rowOff>
    </xdr:from>
    <xdr:to>
      <xdr:col>9</xdr:col>
      <xdr:colOff>25400</xdr:colOff>
      <xdr:row>34</xdr:row>
      <xdr:rowOff>3175</xdr:rowOff>
    </xdr:to>
    <xdr:sp macro="" textlink="">
      <xdr:nvSpPr>
        <xdr:cNvPr id="6156" name="Object 12" hidden="1">
          <a:extLst>
            <a:ext uri="{63B3BB69-23CF-44E3-9099-C40C66FF867C}">
              <a14:compatExt xmlns:a14="http://schemas.microsoft.com/office/drawing/2010/main" spid="_x0000_s6156"/>
            </a:ext>
            <a:ext uri="{FF2B5EF4-FFF2-40B4-BE49-F238E27FC236}">
              <a16:creationId xmlns:a16="http://schemas.microsoft.com/office/drawing/2014/main" xmlns="" id="{00000000-0008-0000-0300-00000C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901700</xdr:colOff>
      <xdr:row>14</xdr:row>
      <xdr:rowOff>114300</xdr:rowOff>
    </xdr:from>
    <xdr:to>
      <xdr:col>0</xdr:col>
      <xdr:colOff>1079500</xdr:colOff>
      <xdr:row>33</xdr:row>
      <xdr:rowOff>25400</xdr:rowOff>
    </xdr:to>
    <xdr:sp macro="" textlink="">
      <xdr:nvSpPr>
        <xdr:cNvPr id="6157" name="Object 13" hidden="1">
          <a:extLst>
            <a:ext uri="{63B3BB69-23CF-44E3-9099-C40C66FF867C}">
              <a14:compatExt xmlns:a14="http://schemas.microsoft.com/office/drawing/2010/main" spid="_x0000_s6157"/>
            </a:ext>
            <a:ext uri="{FF2B5EF4-FFF2-40B4-BE49-F238E27FC236}">
              <a16:creationId xmlns:a16="http://schemas.microsoft.com/office/drawing/2014/main" xmlns="" id="{00000000-0008-0000-0300-00000D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5</xdr:col>
      <xdr:colOff>104775</xdr:colOff>
      <xdr:row>14</xdr:row>
      <xdr:rowOff>9525</xdr:rowOff>
    </xdr:from>
    <xdr:to>
      <xdr:col>6</xdr:col>
      <xdr:colOff>419100</xdr:colOff>
      <xdr:row>15</xdr:row>
      <xdr:rowOff>85725</xdr:rowOff>
    </xdr:to>
    <xdr:sp macro="" textlink="">
      <xdr:nvSpPr>
        <xdr:cNvPr id="15" name="Line 10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SpPr>
          <a:spLocks noChangeShapeType="1"/>
        </xdr:cNvSpPr>
      </xdr:nvSpPr>
      <xdr:spPr bwMode="auto">
        <a:xfrm flipH="1">
          <a:off x="4810125" y="2390775"/>
          <a:ext cx="82867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200025</xdr:colOff>
      <xdr:row>6</xdr:row>
      <xdr:rowOff>133350</xdr:rowOff>
    </xdr:from>
    <xdr:to>
      <xdr:col>9</xdr:col>
      <xdr:colOff>28575</xdr:colOff>
      <xdr:row>13</xdr:row>
      <xdr:rowOff>66675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xmlns="" id="{0235F12F-D951-4A9D-ABDD-B36A5DCAB772}"/>
            </a:ext>
            <a:ext uri="{147F2762-F138-4A5C-976F-8EAC2B608ADB}">
              <a16:predDERef xmlns:a16="http://schemas.microsoft.com/office/drawing/2014/main" xmlns="" pred="{00000000-0008-0000-03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77150" y="1104900"/>
          <a:ext cx="1343025" cy="1181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23</xdr:row>
      <xdr:rowOff>190500</xdr:rowOff>
    </xdr:from>
    <xdr:to>
      <xdr:col>4</xdr:col>
      <xdr:colOff>723900</xdr:colOff>
      <xdr:row>23</xdr:row>
      <xdr:rowOff>190500</xdr:rowOff>
    </xdr:to>
    <xdr:sp macro="" textlink="">
      <xdr:nvSpPr>
        <xdr:cNvPr id="12322" name="Line 2">
          <a:extLst>
            <a:ext uri="{FF2B5EF4-FFF2-40B4-BE49-F238E27FC236}">
              <a16:creationId xmlns:a16="http://schemas.microsoft.com/office/drawing/2014/main" xmlns="" id="{00000000-0008-0000-0400-000022300000}"/>
            </a:ext>
          </a:extLst>
        </xdr:cNvPr>
        <xdr:cNvSpPr>
          <a:spLocks noChangeShapeType="1"/>
        </xdr:cNvSpPr>
      </xdr:nvSpPr>
      <xdr:spPr bwMode="auto">
        <a:xfrm flipH="1">
          <a:off x="2238375" y="4876800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276225</xdr:colOff>
      <xdr:row>23</xdr:row>
      <xdr:rowOff>171450</xdr:rowOff>
    </xdr:from>
    <xdr:to>
      <xdr:col>5</xdr:col>
      <xdr:colOff>1047750</xdr:colOff>
      <xdr:row>23</xdr:row>
      <xdr:rowOff>171450</xdr:rowOff>
    </xdr:to>
    <xdr:sp macro="" textlink="">
      <xdr:nvSpPr>
        <xdr:cNvPr id="12323" name="Line 3">
          <a:extLst>
            <a:ext uri="{FF2B5EF4-FFF2-40B4-BE49-F238E27FC236}">
              <a16:creationId xmlns:a16="http://schemas.microsoft.com/office/drawing/2014/main" xmlns="" id="{00000000-0008-0000-0400-000023300000}"/>
            </a:ext>
          </a:extLst>
        </xdr:cNvPr>
        <xdr:cNvSpPr>
          <a:spLocks noChangeShapeType="1"/>
        </xdr:cNvSpPr>
      </xdr:nvSpPr>
      <xdr:spPr bwMode="auto">
        <a:xfrm>
          <a:off x="3562350" y="485775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514350</xdr:colOff>
      <xdr:row>23</xdr:row>
      <xdr:rowOff>171450</xdr:rowOff>
    </xdr:from>
    <xdr:to>
      <xdr:col>7</xdr:col>
      <xdr:colOff>695325</xdr:colOff>
      <xdr:row>23</xdr:row>
      <xdr:rowOff>171450</xdr:rowOff>
    </xdr:to>
    <xdr:sp macro="" textlink="">
      <xdr:nvSpPr>
        <xdr:cNvPr id="12324" name="Line 4">
          <a:extLst>
            <a:ext uri="{FF2B5EF4-FFF2-40B4-BE49-F238E27FC236}">
              <a16:creationId xmlns:a16="http://schemas.microsoft.com/office/drawing/2014/main" xmlns="" id="{00000000-0008-0000-0400-000024300000}"/>
            </a:ext>
          </a:extLst>
        </xdr:cNvPr>
        <xdr:cNvSpPr>
          <a:spLocks noChangeShapeType="1"/>
        </xdr:cNvSpPr>
      </xdr:nvSpPr>
      <xdr:spPr bwMode="auto">
        <a:xfrm flipH="1">
          <a:off x="4848225" y="485775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314325</xdr:colOff>
      <xdr:row>23</xdr:row>
      <xdr:rowOff>171450</xdr:rowOff>
    </xdr:from>
    <xdr:to>
      <xdr:col>8</xdr:col>
      <xdr:colOff>1038225</xdr:colOff>
      <xdr:row>23</xdr:row>
      <xdr:rowOff>171450</xdr:rowOff>
    </xdr:to>
    <xdr:sp macro="" textlink="">
      <xdr:nvSpPr>
        <xdr:cNvPr id="12325" name="Line 5">
          <a:extLst>
            <a:ext uri="{FF2B5EF4-FFF2-40B4-BE49-F238E27FC236}">
              <a16:creationId xmlns:a16="http://schemas.microsoft.com/office/drawing/2014/main" xmlns="" id="{00000000-0008-0000-0400-000025300000}"/>
            </a:ext>
          </a:extLst>
        </xdr:cNvPr>
        <xdr:cNvSpPr>
          <a:spLocks noChangeShapeType="1"/>
        </xdr:cNvSpPr>
      </xdr:nvSpPr>
      <xdr:spPr bwMode="auto">
        <a:xfrm>
          <a:off x="6210300" y="4857750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133350</xdr:colOff>
      <xdr:row>23</xdr:row>
      <xdr:rowOff>190500</xdr:rowOff>
    </xdr:from>
    <xdr:to>
      <xdr:col>3</xdr:col>
      <xdr:colOff>361950</xdr:colOff>
      <xdr:row>23</xdr:row>
      <xdr:rowOff>190500</xdr:rowOff>
    </xdr:to>
    <xdr:sp macro="" textlink="">
      <xdr:nvSpPr>
        <xdr:cNvPr id="12326" name="Line 8">
          <a:extLst>
            <a:ext uri="{FF2B5EF4-FFF2-40B4-BE49-F238E27FC236}">
              <a16:creationId xmlns:a16="http://schemas.microsoft.com/office/drawing/2014/main" xmlns="" id="{00000000-0008-0000-0400-000026300000}"/>
            </a:ext>
          </a:extLst>
        </xdr:cNvPr>
        <xdr:cNvSpPr>
          <a:spLocks noChangeShapeType="1"/>
        </xdr:cNvSpPr>
      </xdr:nvSpPr>
      <xdr:spPr bwMode="auto">
        <a:xfrm flipH="1">
          <a:off x="981075" y="48768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733425</xdr:colOff>
      <xdr:row>23</xdr:row>
      <xdr:rowOff>190500</xdr:rowOff>
    </xdr:from>
    <xdr:to>
      <xdr:col>3</xdr:col>
      <xdr:colOff>1247775</xdr:colOff>
      <xdr:row>23</xdr:row>
      <xdr:rowOff>190500</xdr:rowOff>
    </xdr:to>
    <xdr:sp macro="" textlink="">
      <xdr:nvSpPr>
        <xdr:cNvPr id="12327" name="Line 9">
          <a:extLst>
            <a:ext uri="{FF2B5EF4-FFF2-40B4-BE49-F238E27FC236}">
              <a16:creationId xmlns:a16="http://schemas.microsoft.com/office/drawing/2014/main" xmlns="" id="{00000000-0008-0000-0400-000027300000}"/>
            </a:ext>
          </a:extLst>
        </xdr:cNvPr>
        <xdr:cNvSpPr>
          <a:spLocks noChangeShapeType="1"/>
        </xdr:cNvSpPr>
      </xdr:nvSpPr>
      <xdr:spPr bwMode="auto">
        <a:xfrm flipV="1">
          <a:off x="1724025" y="4876800"/>
          <a:ext cx="51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1047750</xdr:colOff>
      <xdr:row>23</xdr:row>
      <xdr:rowOff>171450</xdr:rowOff>
    </xdr:from>
    <xdr:to>
      <xdr:col>9</xdr:col>
      <xdr:colOff>533400</xdr:colOff>
      <xdr:row>23</xdr:row>
      <xdr:rowOff>171450</xdr:rowOff>
    </xdr:to>
    <xdr:sp macro="" textlink="">
      <xdr:nvSpPr>
        <xdr:cNvPr id="12328" name="Line 10">
          <a:extLst>
            <a:ext uri="{FF2B5EF4-FFF2-40B4-BE49-F238E27FC236}">
              <a16:creationId xmlns:a16="http://schemas.microsoft.com/office/drawing/2014/main" xmlns="" id="{00000000-0008-0000-0400-000028300000}"/>
            </a:ext>
          </a:extLst>
        </xdr:cNvPr>
        <xdr:cNvSpPr>
          <a:spLocks noChangeShapeType="1"/>
        </xdr:cNvSpPr>
      </xdr:nvSpPr>
      <xdr:spPr bwMode="auto">
        <a:xfrm flipH="1" flipV="1">
          <a:off x="6943725" y="4857750"/>
          <a:ext cx="533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857250</xdr:colOff>
      <xdr:row>23</xdr:row>
      <xdr:rowOff>171450</xdr:rowOff>
    </xdr:from>
    <xdr:to>
      <xdr:col>9</xdr:col>
      <xdr:colOff>1247775</xdr:colOff>
      <xdr:row>23</xdr:row>
      <xdr:rowOff>171450</xdr:rowOff>
    </xdr:to>
    <xdr:sp macro="" textlink="">
      <xdr:nvSpPr>
        <xdr:cNvPr id="12329" name="Line 11">
          <a:extLst>
            <a:ext uri="{FF2B5EF4-FFF2-40B4-BE49-F238E27FC236}">
              <a16:creationId xmlns:a16="http://schemas.microsoft.com/office/drawing/2014/main" xmlns="" id="{00000000-0008-0000-0400-000029300000}"/>
            </a:ext>
          </a:extLst>
        </xdr:cNvPr>
        <xdr:cNvSpPr>
          <a:spLocks noChangeShapeType="1"/>
        </xdr:cNvSpPr>
      </xdr:nvSpPr>
      <xdr:spPr bwMode="auto">
        <a:xfrm>
          <a:off x="7800975" y="485775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142875</xdr:colOff>
      <xdr:row>15</xdr:row>
      <xdr:rowOff>19050</xdr:rowOff>
    </xdr:from>
    <xdr:to>
      <xdr:col>4</xdr:col>
      <xdr:colOff>142875</xdr:colOff>
      <xdr:row>21</xdr:row>
      <xdr:rowOff>266700</xdr:rowOff>
    </xdr:to>
    <xdr:sp macro="" textlink="">
      <xdr:nvSpPr>
        <xdr:cNvPr id="12330" name="Line 16">
          <a:extLst>
            <a:ext uri="{FF2B5EF4-FFF2-40B4-BE49-F238E27FC236}">
              <a16:creationId xmlns:a16="http://schemas.microsoft.com/office/drawing/2014/main" xmlns="" id="{00000000-0008-0000-0400-00002A300000}"/>
            </a:ext>
          </a:extLst>
        </xdr:cNvPr>
        <xdr:cNvSpPr>
          <a:spLocks noChangeShapeType="1"/>
        </xdr:cNvSpPr>
      </xdr:nvSpPr>
      <xdr:spPr bwMode="auto">
        <a:xfrm flipV="1">
          <a:off x="2381250" y="2495550"/>
          <a:ext cx="0" cy="190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23</xdr:row>
      <xdr:rowOff>28575</xdr:rowOff>
    </xdr:from>
    <xdr:to>
      <xdr:col>4</xdr:col>
      <xdr:colOff>152400</xdr:colOff>
      <xdr:row>31</xdr:row>
      <xdr:rowOff>228600</xdr:rowOff>
    </xdr:to>
    <xdr:sp macro="" textlink="">
      <xdr:nvSpPr>
        <xdr:cNvPr id="12331" name="Line 17">
          <a:extLst>
            <a:ext uri="{FF2B5EF4-FFF2-40B4-BE49-F238E27FC236}">
              <a16:creationId xmlns:a16="http://schemas.microsoft.com/office/drawing/2014/main" xmlns="" id="{00000000-0008-0000-0400-00002B300000}"/>
            </a:ext>
          </a:extLst>
        </xdr:cNvPr>
        <xdr:cNvSpPr>
          <a:spLocks noChangeShapeType="1"/>
        </xdr:cNvSpPr>
      </xdr:nvSpPr>
      <xdr:spPr bwMode="auto">
        <a:xfrm>
          <a:off x="2390775" y="4714875"/>
          <a:ext cx="0" cy="2409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1200150</xdr:colOff>
      <xdr:row>15</xdr:row>
      <xdr:rowOff>0</xdr:rowOff>
    </xdr:from>
    <xdr:to>
      <xdr:col>3</xdr:col>
      <xdr:colOff>1200150</xdr:colOff>
      <xdr:row>32</xdr:row>
      <xdr:rowOff>9525</xdr:rowOff>
    </xdr:to>
    <xdr:cxnSp macro="">
      <xdr:nvCxnSpPr>
        <xdr:cNvPr id="12332" name="Gerade Verbindung mit Pfeil 14">
          <a:extLst>
            <a:ext uri="{FF2B5EF4-FFF2-40B4-BE49-F238E27FC236}">
              <a16:creationId xmlns:a16="http://schemas.microsoft.com/office/drawing/2014/main" xmlns="" id="{00000000-0008-0000-0400-00002C300000}"/>
            </a:ext>
          </a:extLst>
        </xdr:cNvPr>
        <xdr:cNvCxnSpPr>
          <a:cxnSpLocks noChangeShapeType="1"/>
        </xdr:cNvCxnSpPr>
      </xdr:nvCxnSpPr>
      <xdr:spPr bwMode="auto">
        <a:xfrm>
          <a:off x="2190750" y="2476500"/>
          <a:ext cx="0" cy="4705350"/>
        </a:xfrm>
        <a:prstGeom prst="straightConnector1">
          <a:avLst/>
        </a:prstGeom>
        <a:noFill/>
        <a:ln w="9525" algn="ctr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47625</xdr:colOff>
      <xdr:row>14</xdr:row>
      <xdr:rowOff>161925</xdr:rowOff>
    </xdr:from>
    <xdr:to>
      <xdr:col>9</xdr:col>
      <xdr:colOff>47625</xdr:colOff>
      <xdr:row>31</xdr:row>
      <xdr:rowOff>266700</xdr:rowOff>
    </xdr:to>
    <xdr:cxnSp macro="">
      <xdr:nvCxnSpPr>
        <xdr:cNvPr id="12333" name="Gerade Verbindung mit Pfeil 17">
          <a:extLst>
            <a:ext uri="{FF2B5EF4-FFF2-40B4-BE49-F238E27FC236}">
              <a16:creationId xmlns:a16="http://schemas.microsoft.com/office/drawing/2014/main" xmlns="" id="{00000000-0008-0000-0400-00002D300000}"/>
            </a:ext>
          </a:extLst>
        </xdr:cNvPr>
        <xdr:cNvCxnSpPr>
          <a:cxnSpLocks noChangeShapeType="1"/>
        </xdr:cNvCxnSpPr>
      </xdr:nvCxnSpPr>
      <xdr:spPr bwMode="auto">
        <a:xfrm>
          <a:off x="6991350" y="2466975"/>
          <a:ext cx="0" cy="4695825"/>
        </a:xfrm>
        <a:prstGeom prst="straightConnector1">
          <a:avLst/>
        </a:prstGeom>
        <a:noFill/>
        <a:ln w="9525" algn="ctr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19050</xdr:colOff>
      <xdr:row>32</xdr:row>
      <xdr:rowOff>0</xdr:rowOff>
    </xdr:from>
    <xdr:to>
      <xdr:col>9</xdr:col>
      <xdr:colOff>19050</xdr:colOff>
      <xdr:row>33</xdr:row>
      <xdr:rowOff>19050</xdr:rowOff>
    </xdr:to>
    <xdr:sp macro="" textlink="">
      <xdr:nvSpPr>
        <xdr:cNvPr id="12334" name="Line 10">
          <a:extLst>
            <a:ext uri="{FF2B5EF4-FFF2-40B4-BE49-F238E27FC236}">
              <a16:creationId xmlns:a16="http://schemas.microsoft.com/office/drawing/2014/main" xmlns="" id="{00000000-0008-0000-0400-00002E300000}"/>
            </a:ext>
          </a:extLst>
        </xdr:cNvPr>
        <xdr:cNvSpPr>
          <a:spLocks noChangeShapeType="1"/>
        </xdr:cNvSpPr>
      </xdr:nvSpPr>
      <xdr:spPr bwMode="auto">
        <a:xfrm flipV="1">
          <a:off x="6962775" y="7172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1219200</xdr:colOff>
      <xdr:row>31</xdr:row>
      <xdr:rowOff>266700</xdr:rowOff>
    </xdr:from>
    <xdr:to>
      <xdr:col>3</xdr:col>
      <xdr:colOff>1219200</xdr:colOff>
      <xdr:row>33</xdr:row>
      <xdr:rowOff>19050</xdr:rowOff>
    </xdr:to>
    <xdr:sp macro="" textlink="">
      <xdr:nvSpPr>
        <xdr:cNvPr id="12335" name="Line 10">
          <a:extLst>
            <a:ext uri="{FF2B5EF4-FFF2-40B4-BE49-F238E27FC236}">
              <a16:creationId xmlns:a16="http://schemas.microsoft.com/office/drawing/2014/main" xmlns="" id="{00000000-0008-0000-0400-00002F300000}"/>
            </a:ext>
          </a:extLst>
        </xdr:cNvPr>
        <xdr:cNvSpPr>
          <a:spLocks noChangeShapeType="1"/>
        </xdr:cNvSpPr>
      </xdr:nvSpPr>
      <xdr:spPr bwMode="auto">
        <a:xfrm flipV="1">
          <a:off x="2209800" y="716280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876300</xdr:colOff>
      <xdr:row>34</xdr:row>
      <xdr:rowOff>0</xdr:rowOff>
    </xdr:from>
    <xdr:to>
      <xdr:col>9</xdr:col>
      <xdr:colOff>1193800</xdr:colOff>
      <xdr:row>35</xdr:row>
      <xdr:rowOff>0</xdr:rowOff>
    </xdr:to>
    <xdr:sp macro="" textlink="">
      <xdr:nvSpPr>
        <xdr:cNvPr id="12304" name="Object 16" hidden="1">
          <a:extLst>
            <a:ext uri="{63B3BB69-23CF-44E3-9099-C40C66FF867C}">
              <a14:compatExt xmlns:a14="http://schemas.microsoft.com/office/drawing/2010/main" spid="_x0000_s12304"/>
            </a:ext>
            <a:ext uri="{FF2B5EF4-FFF2-40B4-BE49-F238E27FC236}">
              <a16:creationId xmlns:a16="http://schemas.microsoft.com/office/drawing/2014/main" xmlns="" id="{00000000-0008-0000-0400-0000103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1</xdr:col>
      <xdr:colOff>901700</xdr:colOff>
      <xdr:row>13</xdr:row>
      <xdr:rowOff>139700</xdr:rowOff>
    </xdr:from>
    <xdr:to>
      <xdr:col>1</xdr:col>
      <xdr:colOff>1041400</xdr:colOff>
      <xdr:row>32</xdr:row>
      <xdr:rowOff>127000</xdr:rowOff>
    </xdr:to>
    <xdr:sp macro="" textlink="">
      <xdr:nvSpPr>
        <xdr:cNvPr id="12305" name="Object 17" hidden="1">
          <a:extLst>
            <a:ext uri="{63B3BB69-23CF-44E3-9099-C40C66FF867C}">
              <a14:compatExt xmlns:a14="http://schemas.microsoft.com/office/drawing/2010/main" spid="_x0000_s12305"/>
            </a:ext>
            <a:ext uri="{FF2B5EF4-FFF2-40B4-BE49-F238E27FC236}">
              <a16:creationId xmlns:a16="http://schemas.microsoft.com/office/drawing/2014/main" xmlns="" id="{00000000-0008-0000-0400-0000113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6</xdr:col>
      <xdr:colOff>228600</xdr:colOff>
      <xdr:row>13</xdr:row>
      <xdr:rowOff>19050</xdr:rowOff>
    </xdr:from>
    <xdr:to>
      <xdr:col>7</xdr:col>
      <xdr:colOff>542925</xdr:colOff>
      <xdr:row>14</xdr:row>
      <xdr:rowOff>57150</xdr:rowOff>
    </xdr:to>
    <xdr:sp macro="" textlink="">
      <xdr:nvSpPr>
        <xdr:cNvPr id="19" name="Line 10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>
          <a:spLocks noChangeShapeType="1"/>
        </xdr:cNvSpPr>
      </xdr:nvSpPr>
      <xdr:spPr bwMode="auto">
        <a:xfrm flipH="1">
          <a:off x="4562475" y="2238375"/>
          <a:ext cx="82867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1009650</xdr:colOff>
      <xdr:row>5</xdr:row>
      <xdr:rowOff>152400</xdr:rowOff>
    </xdr:from>
    <xdr:to>
      <xdr:col>10</xdr:col>
      <xdr:colOff>9525</xdr:colOff>
      <xdr:row>12</xdr:row>
      <xdr:rowOff>38100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xmlns="" id="{D61984C6-D9CE-4150-96DF-3A60B24ECFC1}"/>
            </a:ext>
            <a:ext uri="{147F2762-F138-4A5C-976F-8EAC2B608ADB}">
              <a16:predDERef xmlns:a16="http://schemas.microsoft.com/office/drawing/2014/main" xmlns="" pred="{00000000-0008-0000-04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72325" y="962025"/>
          <a:ext cx="1295400" cy="11334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21</xdr:row>
      <xdr:rowOff>257175</xdr:rowOff>
    </xdr:from>
    <xdr:to>
      <xdr:col>9</xdr:col>
      <xdr:colOff>838200</xdr:colOff>
      <xdr:row>21</xdr:row>
      <xdr:rowOff>257175</xdr:rowOff>
    </xdr:to>
    <xdr:sp macro="" textlink="">
      <xdr:nvSpPr>
        <xdr:cNvPr id="9231" name="Line 1">
          <a:extLst>
            <a:ext uri="{FF2B5EF4-FFF2-40B4-BE49-F238E27FC236}">
              <a16:creationId xmlns:a16="http://schemas.microsoft.com/office/drawing/2014/main" xmlns="" id="{00000000-0008-0000-0500-00000F240000}"/>
            </a:ext>
          </a:extLst>
        </xdr:cNvPr>
        <xdr:cNvSpPr>
          <a:spLocks noChangeShapeType="1"/>
        </xdr:cNvSpPr>
      </xdr:nvSpPr>
      <xdr:spPr bwMode="auto">
        <a:xfrm flipH="1">
          <a:off x="4695825" y="4152900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209550</xdr:colOff>
      <xdr:row>21</xdr:row>
      <xdr:rowOff>247650</xdr:rowOff>
    </xdr:from>
    <xdr:to>
      <xdr:col>11</xdr:col>
      <xdr:colOff>0</xdr:colOff>
      <xdr:row>21</xdr:row>
      <xdr:rowOff>247650</xdr:rowOff>
    </xdr:to>
    <xdr:sp macro="" textlink="">
      <xdr:nvSpPr>
        <xdr:cNvPr id="9232" name="Line 2">
          <a:extLst>
            <a:ext uri="{FF2B5EF4-FFF2-40B4-BE49-F238E27FC236}">
              <a16:creationId xmlns:a16="http://schemas.microsoft.com/office/drawing/2014/main" xmlns="" id="{00000000-0008-0000-0500-000010240000}"/>
            </a:ext>
          </a:extLst>
        </xdr:cNvPr>
        <xdr:cNvSpPr>
          <a:spLocks noChangeShapeType="1"/>
        </xdr:cNvSpPr>
      </xdr:nvSpPr>
      <xdr:spPr bwMode="auto">
        <a:xfrm>
          <a:off x="6135103" y="4308308"/>
          <a:ext cx="1504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314325</xdr:colOff>
      <xdr:row>21</xdr:row>
      <xdr:rowOff>238125</xdr:rowOff>
    </xdr:from>
    <xdr:to>
      <xdr:col>2</xdr:col>
      <xdr:colOff>866775</xdr:colOff>
      <xdr:row>21</xdr:row>
      <xdr:rowOff>238125</xdr:rowOff>
    </xdr:to>
    <xdr:sp macro="" textlink="">
      <xdr:nvSpPr>
        <xdr:cNvPr id="9233" name="Line 4">
          <a:extLst>
            <a:ext uri="{FF2B5EF4-FFF2-40B4-BE49-F238E27FC236}">
              <a16:creationId xmlns:a16="http://schemas.microsoft.com/office/drawing/2014/main" xmlns="" id="{00000000-0008-0000-0500-000011240000}"/>
            </a:ext>
          </a:extLst>
        </xdr:cNvPr>
        <xdr:cNvSpPr>
          <a:spLocks noChangeShapeType="1"/>
        </xdr:cNvSpPr>
      </xdr:nvSpPr>
      <xdr:spPr bwMode="auto">
        <a:xfrm flipH="1">
          <a:off x="1238250" y="4133850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590550</xdr:colOff>
      <xdr:row>21</xdr:row>
      <xdr:rowOff>247650</xdr:rowOff>
    </xdr:from>
    <xdr:to>
      <xdr:col>6</xdr:col>
      <xdr:colOff>0</xdr:colOff>
      <xdr:row>21</xdr:row>
      <xdr:rowOff>247650</xdr:rowOff>
    </xdr:to>
    <xdr:sp macro="" textlink="">
      <xdr:nvSpPr>
        <xdr:cNvPr id="9234" name="Line 5">
          <a:extLst>
            <a:ext uri="{FF2B5EF4-FFF2-40B4-BE49-F238E27FC236}">
              <a16:creationId xmlns:a16="http://schemas.microsoft.com/office/drawing/2014/main" xmlns="" id="{00000000-0008-0000-0500-000012240000}"/>
            </a:ext>
          </a:extLst>
        </xdr:cNvPr>
        <xdr:cNvSpPr>
          <a:spLocks noChangeShapeType="1"/>
        </xdr:cNvSpPr>
      </xdr:nvSpPr>
      <xdr:spPr bwMode="auto">
        <a:xfrm>
          <a:off x="3076575" y="4143375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409575</xdr:colOff>
      <xdr:row>16</xdr:row>
      <xdr:rowOff>28575</xdr:rowOff>
    </xdr:from>
    <xdr:to>
      <xdr:col>2</xdr:col>
      <xdr:colOff>409575</xdr:colOff>
      <xdr:row>23</xdr:row>
      <xdr:rowOff>66675</xdr:rowOff>
    </xdr:to>
    <xdr:sp macro="" textlink="">
      <xdr:nvSpPr>
        <xdr:cNvPr id="9235" name="Line 6">
          <a:extLst>
            <a:ext uri="{FF2B5EF4-FFF2-40B4-BE49-F238E27FC236}">
              <a16:creationId xmlns:a16="http://schemas.microsoft.com/office/drawing/2014/main" xmlns="" id="{00000000-0008-0000-0500-000013240000}"/>
            </a:ext>
          </a:extLst>
        </xdr:cNvPr>
        <xdr:cNvSpPr>
          <a:spLocks noChangeShapeType="1"/>
        </xdr:cNvSpPr>
      </xdr:nvSpPr>
      <xdr:spPr bwMode="auto">
        <a:xfrm flipV="1">
          <a:off x="1647825" y="2543175"/>
          <a:ext cx="0" cy="2095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390525</xdr:colOff>
      <xdr:row>24</xdr:row>
      <xdr:rowOff>66675</xdr:rowOff>
    </xdr:from>
    <xdr:to>
      <xdr:col>2</xdr:col>
      <xdr:colOff>390525</xdr:colOff>
      <xdr:row>32</xdr:row>
      <xdr:rowOff>247650</xdr:rowOff>
    </xdr:to>
    <xdr:sp macro="" textlink="">
      <xdr:nvSpPr>
        <xdr:cNvPr id="9236" name="Line 7">
          <a:extLst>
            <a:ext uri="{FF2B5EF4-FFF2-40B4-BE49-F238E27FC236}">
              <a16:creationId xmlns:a16="http://schemas.microsoft.com/office/drawing/2014/main" xmlns="" id="{00000000-0008-0000-0500-000014240000}"/>
            </a:ext>
          </a:extLst>
        </xdr:cNvPr>
        <xdr:cNvSpPr>
          <a:spLocks noChangeShapeType="1"/>
        </xdr:cNvSpPr>
      </xdr:nvSpPr>
      <xdr:spPr bwMode="auto">
        <a:xfrm>
          <a:off x="1628775" y="4914900"/>
          <a:ext cx="0" cy="2266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965200</xdr:colOff>
      <xdr:row>38</xdr:row>
      <xdr:rowOff>0</xdr:rowOff>
    </xdr:from>
    <xdr:to>
      <xdr:col>11</xdr:col>
      <xdr:colOff>177800</xdr:colOff>
      <xdr:row>38</xdr:row>
      <xdr:rowOff>158750</xdr:rowOff>
    </xdr:to>
    <xdr:sp macro="" textlink="">
      <xdr:nvSpPr>
        <xdr:cNvPr id="9223" name="Object 7" hidden="1">
          <a:extLst>
            <a:ext uri="{63B3BB69-23CF-44E3-9099-C40C66FF867C}">
              <a14:compatExt xmlns:a14="http://schemas.microsoft.com/office/drawing/2010/main" spid="_x0000_s9223"/>
            </a:ext>
            <a:ext uri="{FF2B5EF4-FFF2-40B4-BE49-F238E27FC236}">
              <a16:creationId xmlns:a16="http://schemas.microsoft.com/office/drawing/2014/main" xmlns="" id="{00000000-0008-0000-0500-0000072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901700</xdr:colOff>
      <xdr:row>13</xdr:row>
      <xdr:rowOff>139700</xdr:rowOff>
    </xdr:from>
    <xdr:to>
      <xdr:col>0</xdr:col>
      <xdr:colOff>1066800</xdr:colOff>
      <xdr:row>35</xdr:row>
      <xdr:rowOff>28575</xdr:rowOff>
    </xdr:to>
    <xdr:sp macro="" textlink="">
      <xdr:nvSpPr>
        <xdr:cNvPr id="9224" name="Object 8" hidden="1">
          <a:extLst>
            <a:ext uri="{63B3BB69-23CF-44E3-9099-C40C66FF867C}">
              <a14:compatExt xmlns:a14="http://schemas.microsoft.com/office/drawing/2010/main" spid="_x0000_s9224"/>
            </a:ext>
            <a:ext uri="{FF2B5EF4-FFF2-40B4-BE49-F238E27FC236}">
              <a16:creationId xmlns:a16="http://schemas.microsoft.com/office/drawing/2014/main" xmlns="" id="{00000000-0008-0000-0500-0000082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6</xdr:col>
      <xdr:colOff>330869</xdr:colOff>
      <xdr:row>13</xdr:row>
      <xdr:rowOff>60157</xdr:rowOff>
    </xdr:from>
    <xdr:to>
      <xdr:col>9</xdr:col>
      <xdr:colOff>377492</xdr:colOff>
      <xdr:row>14</xdr:row>
      <xdr:rowOff>99761</xdr:rowOff>
    </xdr:to>
    <xdr:sp macro="" textlink="">
      <xdr:nvSpPr>
        <xdr:cNvPr id="10" name="Line 10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SpPr>
          <a:spLocks noChangeShapeType="1"/>
        </xdr:cNvSpPr>
      </xdr:nvSpPr>
      <xdr:spPr bwMode="auto">
        <a:xfrm flipH="1">
          <a:off x="4511843" y="2145631"/>
          <a:ext cx="82867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933450</xdr:colOff>
      <xdr:row>5</xdr:row>
      <xdr:rowOff>85725</xdr:rowOff>
    </xdr:from>
    <xdr:to>
      <xdr:col>12</xdr:col>
      <xdr:colOff>9525</xdr:colOff>
      <xdr:row>11</xdr:row>
      <xdr:rowOff>123825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xmlns="" id="{54FDEA33-35E5-4616-B21D-AF796F5C62F0}"/>
            </a:ext>
            <a:ext uri="{147F2762-F138-4A5C-976F-8EAC2B608ADB}">
              <a16:predDERef xmlns:a16="http://schemas.microsoft.com/office/drawing/2014/main" xmlns="" pred="{00000000-0008-0000-05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00875" y="895350"/>
          <a:ext cx="1104900" cy="9715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25</xdr:row>
      <xdr:rowOff>257175</xdr:rowOff>
    </xdr:from>
    <xdr:to>
      <xdr:col>13</xdr:col>
      <xdr:colOff>838200</xdr:colOff>
      <xdr:row>25</xdr:row>
      <xdr:rowOff>257175</xdr:rowOff>
    </xdr:to>
    <xdr:sp macro="" textlink="">
      <xdr:nvSpPr>
        <xdr:cNvPr id="14355" name="Line 1">
          <a:extLst>
            <a:ext uri="{FF2B5EF4-FFF2-40B4-BE49-F238E27FC236}">
              <a16:creationId xmlns:a16="http://schemas.microsoft.com/office/drawing/2014/main" xmlns="" id="{00000000-0008-0000-0600-000013380000}"/>
            </a:ext>
          </a:extLst>
        </xdr:cNvPr>
        <xdr:cNvSpPr>
          <a:spLocks noChangeShapeType="1"/>
        </xdr:cNvSpPr>
      </xdr:nvSpPr>
      <xdr:spPr bwMode="auto">
        <a:xfrm flipH="1">
          <a:off x="4600575" y="4276725"/>
          <a:ext cx="1524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209550</xdr:colOff>
      <xdr:row>25</xdr:row>
      <xdr:rowOff>247650</xdr:rowOff>
    </xdr:from>
    <xdr:to>
      <xdr:col>14</xdr:col>
      <xdr:colOff>1503947</xdr:colOff>
      <xdr:row>25</xdr:row>
      <xdr:rowOff>247650</xdr:rowOff>
    </xdr:to>
    <xdr:sp macro="" textlink="">
      <xdr:nvSpPr>
        <xdr:cNvPr id="14356" name="Line 2">
          <a:extLst>
            <a:ext uri="{FF2B5EF4-FFF2-40B4-BE49-F238E27FC236}">
              <a16:creationId xmlns:a16="http://schemas.microsoft.com/office/drawing/2014/main" xmlns="" id="{00000000-0008-0000-0600-000014380000}"/>
            </a:ext>
          </a:extLst>
        </xdr:cNvPr>
        <xdr:cNvSpPr>
          <a:spLocks noChangeShapeType="1"/>
        </xdr:cNvSpPr>
      </xdr:nvSpPr>
      <xdr:spPr bwMode="auto">
        <a:xfrm>
          <a:off x="6115050" y="4378492"/>
          <a:ext cx="129439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314325</xdr:colOff>
      <xdr:row>25</xdr:row>
      <xdr:rowOff>238125</xdr:rowOff>
    </xdr:from>
    <xdr:to>
      <xdr:col>2</xdr:col>
      <xdr:colOff>866775</xdr:colOff>
      <xdr:row>25</xdr:row>
      <xdr:rowOff>238125</xdr:rowOff>
    </xdr:to>
    <xdr:sp macro="" textlink="">
      <xdr:nvSpPr>
        <xdr:cNvPr id="14357" name="Line 4">
          <a:extLst>
            <a:ext uri="{FF2B5EF4-FFF2-40B4-BE49-F238E27FC236}">
              <a16:creationId xmlns:a16="http://schemas.microsoft.com/office/drawing/2014/main" xmlns="" id="{00000000-0008-0000-0600-000015380000}"/>
            </a:ext>
          </a:extLst>
        </xdr:cNvPr>
        <xdr:cNvSpPr>
          <a:spLocks noChangeShapeType="1"/>
        </xdr:cNvSpPr>
      </xdr:nvSpPr>
      <xdr:spPr bwMode="auto">
        <a:xfrm flipH="1">
          <a:off x="1238250" y="4257675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590550</xdr:colOff>
      <xdr:row>25</xdr:row>
      <xdr:rowOff>247650</xdr:rowOff>
    </xdr:from>
    <xdr:to>
      <xdr:col>8</xdr:col>
      <xdr:colOff>0</xdr:colOff>
      <xdr:row>25</xdr:row>
      <xdr:rowOff>247650</xdr:rowOff>
    </xdr:to>
    <xdr:sp macro="" textlink="">
      <xdr:nvSpPr>
        <xdr:cNvPr id="14358" name="Line 5">
          <a:extLst>
            <a:ext uri="{FF2B5EF4-FFF2-40B4-BE49-F238E27FC236}">
              <a16:creationId xmlns:a16="http://schemas.microsoft.com/office/drawing/2014/main" xmlns="" id="{00000000-0008-0000-0600-000016380000}"/>
            </a:ext>
          </a:extLst>
        </xdr:cNvPr>
        <xdr:cNvSpPr>
          <a:spLocks noChangeShapeType="1"/>
        </xdr:cNvSpPr>
      </xdr:nvSpPr>
      <xdr:spPr bwMode="auto">
        <a:xfrm>
          <a:off x="3076575" y="4267200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409575</xdr:colOff>
      <xdr:row>20</xdr:row>
      <xdr:rowOff>28575</xdr:rowOff>
    </xdr:from>
    <xdr:to>
      <xdr:col>2</xdr:col>
      <xdr:colOff>409575</xdr:colOff>
      <xdr:row>27</xdr:row>
      <xdr:rowOff>66675</xdr:rowOff>
    </xdr:to>
    <xdr:sp macro="" textlink="">
      <xdr:nvSpPr>
        <xdr:cNvPr id="14359" name="Line 6">
          <a:extLst>
            <a:ext uri="{FF2B5EF4-FFF2-40B4-BE49-F238E27FC236}">
              <a16:creationId xmlns:a16="http://schemas.microsoft.com/office/drawing/2014/main" xmlns="" id="{00000000-0008-0000-0600-000017380000}"/>
            </a:ext>
          </a:extLst>
        </xdr:cNvPr>
        <xdr:cNvSpPr>
          <a:spLocks noChangeShapeType="1"/>
        </xdr:cNvSpPr>
      </xdr:nvSpPr>
      <xdr:spPr bwMode="auto">
        <a:xfrm flipV="1">
          <a:off x="1647825" y="2667000"/>
          <a:ext cx="0" cy="2095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390525</xdr:colOff>
      <xdr:row>28</xdr:row>
      <xdr:rowOff>66675</xdr:rowOff>
    </xdr:from>
    <xdr:to>
      <xdr:col>2</xdr:col>
      <xdr:colOff>390525</xdr:colOff>
      <xdr:row>36</xdr:row>
      <xdr:rowOff>247650</xdr:rowOff>
    </xdr:to>
    <xdr:sp macro="" textlink="">
      <xdr:nvSpPr>
        <xdr:cNvPr id="14360" name="Line 7">
          <a:extLst>
            <a:ext uri="{FF2B5EF4-FFF2-40B4-BE49-F238E27FC236}">
              <a16:creationId xmlns:a16="http://schemas.microsoft.com/office/drawing/2014/main" xmlns="" id="{00000000-0008-0000-0600-000018380000}"/>
            </a:ext>
          </a:extLst>
        </xdr:cNvPr>
        <xdr:cNvSpPr>
          <a:spLocks noChangeShapeType="1"/>
        </xdr:cNvSpPr>
      </xdr:nvSpPr>
      <xdr:spPr bwMode="auto">
        <a:xfrm>
          <a:off x="1628775" y="5038725"/>
          <a:ext cx="0" cy="2266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180975</xdr:colOff>
      <xdr:row>26</xdr:row>
      <xdr:rowOff>190500</xdr:rowOff>
    </xdr:from>
    <xdr:to>
      <xdr:col>8</xdr:col>
      <xdr:colOff>9525</xdr:colOff>
      <xdr:row>26</xdr:row>
      <xdr:rowOff>190500</xdr:rowOff>
    </xdr:to>
    <xdr:sp macro="" textlink="">
      <xdr:nvSpPr>
        <xdr:cNvPr id="14361" name="Line 6">
          <a:extLst>
            <a:ext uri="{FF2B5EF4-FFF2-40B4-BE49-F238E27FC236}">
              <a16:creationId xmlns:a16="http://schemas.microsoft.com/office/drawing/2014/main" xmlns="" id="{00000000-0008-0000-0600-000019380000}"/>
            </a:ext>
          </a:extLst>
        </xdr:cNvPr>
        <xdr:cNvSpPr>
          <a:spLocks noChangeShapeType="1"/>
        </xdr:cNvSpPr>
      </xdr:nvSpPr>
      <xdr:spPr bwMode="auto">
        <a:xfrm rot="5400000" flipV="1">
          <a:off x="3838575" y="422910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26</xdr:row>
      <xdr:rowOff>180975</xdr:rowOff>
    </xdr:from>
    <xdr:to>
      <xdr:col>12</xdr:col>
      <xdr:colOff>9525</xdr:colOff>
      <xdr:row>26</xdr:row>
      <xdr:rowOff>180975</xdr:rowOff>
    </xdr:to>
    <xdr:sp macro="" textlink="">
      <xdr:nvSpPr>
        <xdr:cNvPr id="14362" name="Line 6">
          <a:extLst>
            <a:ext uri="{FF2B5EF4-FFF2-40B4-BE49-F238E27FC236}">
              <a16:creationId xmlns:a16="http://schemas.microsoft.com/office/drawing/2014/main" xmlns="" id="{00000000-0008-0000-0600-00001A380000}"/>
            </a:ext>
          </a:extLst>
        </xdr:cNvPr>
        <xdr:cNvSpPr>
          <a:spLocks noChangeShapeType="1"/>
        </xdr:cNvSpPr>
      </xdr:nvSpPr>
      <xdr:spPr bwMode="auto">
        <a:xfrm rot="5400000" flipV="1">
          <a:off x="4852988" y="4233862"/>
          <a:ext cx="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952500</xdr:colOff>
      <xdr:row>42</xdr:row>
      <xdr:rowOff>12700</xdr:rowOff>
    </xdr:from>
    <xdr:to>
      <xdr:col>15</xdr:col>
      <xdr:colOff>203200</xdr:colOff>
      <xdr:row>43</xdr:row>
      <xdr:rowOff>12700</xdr:rowOff>
    </xdr:to>
    <xdr:sp macro="" textlink="">
      <xdr:nvSpPr>
        <xdr:cNvPr id="14343" name="Object 7" hidden="1">
          <a:extLst>
            <a:ext uri="{63B3BB69-23CF-44E3-9099-C40C66FF867C}">
              <a14:compatExt xmlns:a14="http://schemas.microsoft.com/office/drawing/2010/main" spid="_x0000_s14343"/>
            </a:ext>
            <a:ext uri="{FF2B5EF4-FFF2-40B4-BE49-F238E27FC236}">
              <a16:creationId xmlns:a16="http://schemas.microsoft.com/office/drawing/2014/main" xmlns="" id="{00000000-0008-0000-0600-0000073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901700</xdr:colOff>
      <xdr:row>17</xdr:row>
      <xdr:rowOff>139700</xdr:rowOff>
    </xdr:from>
    <xdr:to>
      <xdr:col>0</xdr:col>
      <xdr:colOff>1054100</xdr:colOff>
      <xdr:row>39</xdr:row>
      <xdr:rowOff>25400</xdr:rowOff>
    </xdr:to>
    <xdr:sp macro="" textlink="">
      <xdr:nvSpPr>
        <xdr:cNvPr id="14344" name="Object 8" hidden="1">
          <a:extLst>
            <a:ext uri="{63B3BB69-23CF-44E3-9099-C40C66FF867C}">
              <a14:compatExt xmlns:a14="http://schemas.microsoft.com/office/drawing/2010/main" spid="_x0000_s14344"/>
            </a:ext>
            <a:ext uri="{FF2B5EF4-FFF2-40B4-BE49-F238E27FC236}">
              <a16:creationId xmlns:a16="http://schemas.microsoft.com/office/drawing/2014/main" xmlns="" id="{00000000-0008-0000-0600-0000083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8</xdr:col>
      <xdr:colOff>350921</xdr:colOff>
      <xdr:row>17</xdr:row>
      <xdr:rowOff>50131</xdr:rowOff>
    </xdr:from>
    <xdr:to>
      <xdr:col>12</xdr:col>
      <xdr:colOff>176965</xdr:colOff>
      <xdr:row>18</xdr:row>
      <xdr:rowOff>89735</xdr:rowOff>
    </xdr:to>
    <xdr:sp macro="" textlink="">
      <xdr:nvSpPr>
        <xdr:cNvPr id="12" name="Line 10">
          <a:extLst>
            <a:ext uri="{FF2B5EF4-FFF2-40B4-BE49-F238E27FC236}">
              <a16:creationId xmlns:a16="http://schemas.microsoft.com/office/drawing/2014/main" xmlns="" id="{00000000-0008-0000-0600-00000C000000}"/>
            </a:ext>
          </a:extLst>
        </xdr:cNvPr>
        <xdr:cNvSpPr>
          <a:spLocks noChangeShapeType="1"/>
        </xdr:cNvSpPr>
      </xdr:nvSpPr>
      <xdr:spPr bwMode="auto">
        <a:xfrm flipH="1">
          <a:off x="4431632" y="2195763"/>
          <a:ext cx="82867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914400</xdr:colOff>
      <xdr:row>10</xdr:row>
      <xdr:rowOff>0</xdr:rowOff>
    </xdr:from>
    <xdr:to>
      <xdr:col>16</xdr:col>
      <xdr:colOff>9525</xdr:colOff>
      <xdr:row>15</xdr:row>
      <xdr:rowOff>114300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600-000002000000}"/>
            </a:ext>
            <a:ext uri="{147F2762-F138-4A5C-976F-8EAC2B608ADB}">
              <a16:predDERef xmlns:a16="http://schemas.microsoft.com/office/drawing/2014/main" xmlns="" pred="{00000000-0008-0000-06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1038225"/>
          <a:ext cx="923925" cy="9048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21</xdr:row>
      <xdr:rowOff>257175</xdr:rowOff>
    </xdr:from>
    <xdr:to>
      <xdr:col>9</xdr:col>
      <xdr:colOff>838200</xdr:colOff>
      <xdr:row>21</xdr:row>
      <xdr:rowOff>257175</xdr:rowOff>
    </xdr:to>
    <xdr:sp macro="" textlink="">
      <xdr:nvSpPr>
        <xdr:cNvPr id="11279" name="Line 1">
          <a:extLst>
            <a:ext uri="{FF2B5EF4-FFF2-40B4-BE49-F238E27FC236}">
              <a16:creationId xmlns:a16="http://schemas.microsoft.com/office/drawing/2014/main" xmlns="" id="{00000000-0008-0000-0700-00000F2C0000}"/>
            </a:ext>
          </a:extLst>
        </xdr:cNvPr>
        <xdr:cNvSpPr>
          <a:spLocks noChangeShapeType="1"/>
        </xdr:cNvSpPr>
      </xdr:nvSpPr>
      <xdr:spPr bwMode="auto">
        <a:xfrm flipH="1">
          <a:off x="4695825" y="4152900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209550</xdr:colOff>
      <xdr:row>21</xdr:row>
      <xdr:rowOff>247650</xdr:rowOff>
    </xdr:from>
    <xdr:to>
      <xdr:col>11</xdr:col>
      <xdr:colOff>0</xdr:colOff>
      <xdr:row>21</xdr:row>
      <xdr:rowOff>247650</xdr:rowOff>
    </xdr:to>
    <xdr:sp macro="" textlink="">
      <xdr:nvSpPr>
        <xdr:cNvPr id="11280" name="Line 2">
          <a:extLst>
            <a:ext uri="{FF2B5EF4-FFF2-40B4-BE49-F238E27FC236}">
              <a16:creationId xmlns:a16="http://schemas.microsoft.com/office/drawing/2014/main" xmlns="" id="{00000000-0008-0000-0700-0000102C0000}"/>
            </a:ext>
          </a:extLst>
        </xdr:cNvPr>
        <xdr:cNvSpPr>
          <a:spLocks noChangeShapeType="1"/>
        </xdr:cNvSpPr>
      </xdr:nvSpPr>
      <xdr:spPr bwMode="auto">
        <a:xfrm>
          <a:off x="5964655" y="4248150"/>
          <a:ext cx="170547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314325</xdr:colOff>
      <xdr:row>21</xdr:row>
      <xdr:rowOff>238125</xdr:rowOff>
    </xdr:from>
    <xdr:to>
      <xdr:col>2</xdr:col>
      <xdr:colOff>866775</xdr:colOff>
      <xdr:row>21</xdr:row>
      <xdr:rowOff>238125</xdr:rowOff>
    </xdr:to>
    <xdr:sp macro="" textlink="">
      <xdr:nvSpPr>
        <xdr:cNvPr id="11281" name="Line 4">
          <a:extLst>
            <a:ext uri="{FF2B5EF4-FFF2-40B4-BE49-F238E27FC236}">
              <a16:creationId xmlns:a16="http://schemas.microsoft.com/office/drawing/2014/main" xmlns="" id="{00000000-0008-0000-0700-0000112C0000}"/>
            </a:ext>
          </a:extLst>
        </xdr:cNvPr>
        <xdr:cNvSpPr>
          <a:spLocks noChangeShapeType="1"/>
        </xdr:cNvSpPr>
      </xdr:nvSpPr>
      <xdr:spPr bwMode="auto">
        <a:xfrm flipH="1">
          <a:off x="1238250" y="4133850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590550</xdr:colOff>
      <xdr:row>21</xdr:row>
      <xdr:rowOff>247650</xdr:rowOff>
    </xdr:from>
    <xdr:to>
      <xdr:col>6</xdr:col>
      <xdr:colOff>0</xdr:colOff>
      <xdr:row>21</xdr:row>
      <xdr:rowOff>247650</xdr:rowOff>
    </xdr:to>
    <xdr:sp macro="" textlink="">
      <xdr:nvSpPr>
        <xdr:cNvPr id="11282" name="Line 5">
          <a:extLst>
            <a:ext uri="{FF2B5EF4-FFF2-40B4-BE49-F238E27FC236}">
              <a16:creationId xmlns:a16="http://schemas.microsoft.com/office/drawing/2014/main" xmlns="" id="{00000000-0008-0000-0700-0000122C0000}"/>
            </a:ext>
          </a:extLst>
        </xdr:cNvPr>
        <xdr:cNvSpPr>
          <a:spLocks noChangeShapeType="1"/>
        </xdr:cNvSpPr>
      </xdr:nvSpPr>
      <xdr:spPr bwMode="auto">
        <a:xfrm>
          <a:off x="3076575" y="4143375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409575</xdr:colOff>
      <xdr:row>16</xdr:row>
      <xdr:rowOff>28575</xdr:rowOff>
    </xdr:from>
    <xdr:to>
      <xdr:col>2</xdr:col>
      <xdr:colOff>409575</xdr:colOff>
      <xdr:row>23</xdr:row>
      <xdr:rowOff>66675</xdr:rowOff>
    </xdr:to>
    <xdr:sp macro="" textlink="">
      <xdr:nvSpPr>
        <xdr:cNvPr id="11283" name="Line 6">
          <a:extLst>
            <a:ext uri="{FF2B5EF4-FFF2-40B4-BE49-F238E27FC236}">
              <a16:creationId xmlns:a16="http://schemas.microsoft.com/office/drawing/2014/main" xmlns="" id="{00000000-0008-0000-0700-0000132C0000}"/>
            </a:ext>
          </a:extLst>
        </xdr:cNvPr>
        <xdr:cNvSpPr>
          <a:spLocks noChangeShapeType="1"/>
        </xdr:cNvSpPr>
      </xdr:nvSpPr>
      <xdr:spPr bwMode="auto">
        <a:xfrm flipV="1">
          <a:off x="1647825" y="2543175"/>
          <a:ext cx="0" cy="2095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390525</xdr:colOff>
      <xdr:row>24</xdr:row>
      <xdr:rowOff>66675</xdr:rowOff>
    </xdr:from>
    <xdr:to>
      <xdr:col>2</xdr:col>
      <xdr:colOff>390525</xdr:colOff>
      <xdr:row>32</xdr:row>
      <xdr:rowOff>247650</xdr:rowOff>
    </xdr:to>
    <xdr:sp macro="" textlink="">
      <xdr:nvSpPr>
        <xdr:cNvPr id="11284" name="Line 7">
          <a:extLst>
            <a:ext uri="{FF2B5EF4-FFF2-40B4-BE49-F238E27FC236}">
              <a16:creationId xmlns:a16="http://schemas.microsoft.com/office/drawing/2014/main" xmlns="" id="{00000000-0008-0000-0700-0000142C0000}"/>
            </a:ext>
          </a:extLst>
        </xdr:cNvPr>
        <xdr:cNvSpPr>
          <a:spLocks noChangeShapeType="1"/>
        </xdr:cNvSpPr>
      </xdr:nvSpPr>
      <xdr:spPr bwMode="auto">
        <a:xfrm>
          <a:off x="1628775" y="4914900"/>
          <a:ext cx="0" cy="2266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977900</xdr:colOff>
      <xdr:row>37</xdr:row>
      <xdr:rowOff>152400</xdr:rowOff>
    </xdr:from>
    <xdr:to>
      <xdr:col>11</xdr:col>
      <xdr:colOff>190500</xdr:colOff>
      <xdr:row>39</xdr:row>
      <xdr:rowOff>3175</xdr:rowOff>
    </xdr:to>
    <xdr:sp macro="" textlink="">
      <xdr:nvSpPr>
        <xdr:cNvPr id="11271" name="Object 7" hidden="1">
          <a:extLst>
            <a:ext uri="{63B3BB69-23CF-44E3-9099-C40C66FF867C}">
              <a14:compatExt xmlns:a14="http://schemas.microsoft.com/office/drawing/2010/main" spid="_x0000_s11271"/>
            </a:ext>
            <a:ext uri="{FF2B5EF4-FFF2-40B4-BE49-F238E27FC236}">
              <a16:creationId xmlns:a16="http://schemas.microsoft.com/office/drawing/2014/main" xmlns="" id="{00000000-0008-0000-0700-0000072C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901700</xdr:colOff>
      <xdr:row>13</xdr:row>
      <xdr:rowOff>139700</xdr:rowOff>
    </xdr:from>
    <xdr:to>
      <xdr:col>0</xdr:col>
      <xdr:colOff>1066800</xdr:colOff>
      <xdr:row>35</xdr:row>
      <xdr:rowOff>3175</xdr:rowOff>
    </xdr:to>
    <xdr:sp macro="" textlink="">
      <xdr:nvSpPr>
        <xdr:cNvPr id="11272" name="Object 8" hidden="1">
          <a:extLst>
            <a:ext uri="{63B3BB69-23CF-44E3-9099-C40C66FF867C}">
              <a14:compatExt xmlns:a14="http://schemas.microsoft.com/office/drawing/2010/main" spid="_x0000_s11272"/>
            </a:ext>
            <a:ext uri="{FF2B5EF4-FFF2-40B4-BE49-F238E27FC236}">
              <a16:creationId xmlns:a16="http://schemas.microsoft.com/office/drawing/2014/main" xmlns="" id="{00000000-0008-0000-0700-0000082C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6</xdr:col>
      <xdr:colOff>391026</xdr:colOff>
      <xdr:row>13</xdr:row>
      <xdr:rowOff>80211</xdr:rowOff>
    </xdr:from>
    <xdr:to>
      <xdr:col>9</xdr:col>
      <xdr:colOff>437649</xdr:colOff>
      <xdr:row>14</xdr:row>
      <xdr:rowOff>119815</xdr:rowOff>
    </xdr:to>
    <xdr:sp macro="" textlink="">
      <xdr:nvSpPr>
        <xdr:cNvPr id="10" name="Line 10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SpPr>
          <a:spLocks noChangeShapeType="1"/>
        </xdr:cNvSpPr>
      </xdr:nvSpPr>
      <xdr:spPr bwMode="auto">
        <a:xfrm flipH="1">
          <a:off x="4572000" y="2085474"/>
          <a:ext cx="82867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1323975</xdr:colOff>
      <xdr:row>6</xdr:row>
      <xdr:rowOff>19050</xdr:rowOff>
    </xdr:from>
    <xdr:to>
      <xdr:col>12</xdr:col>
      <xdr:colOff>9525</xdr:colOff>
      <xdr:row>11</xdr:row>
      <xdr:rowOff>133350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700-000002000000}"/>
            </a:ext>
            <a:ext uri="{147F2762-F138-4A5C-976F-8EAC2B608ADB}">
              <a16:predDERef xmlns:a16="http://schemas.microsoft.com/office/drawing/2014/main" xmlns="" pre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933450"/>
          <a:ext cx="914400" cy="9048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171451</xdr:colOff>
      <xdr:row>3</xdr:row>
      <xdr:rowOff>36672</xdr:rowOff>
    </xdr:from>
    <xdr:to>
      <xdr:col>13</xdr:col>
      <xdr:colOff>504165</xdr:colOff>
      <xdr:row>6</xdr:row>
      <xdr:rowOff>22272</xdr:rowOff>
    </xdr:to>
    <xdr:pic>
      <xdr:nvPicPr>
        <xdr:cNvPr id="15369" name="Picture 5">
          <a:extLst>
            <a:ext uri="{FF2B5EF4-FFF2-40B4-BE49-F238E27FC236}">
              <a16:creationId xmlns:a16="http://schemas.microsoft.com/office/drawing/2014/main" xmlns="" id="{00000000-0008-0000-0800-000009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29176" y="627222"/>
          <a:ext cx="1028039" cy="90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178521</xdr:colOff>
      <xdr:row>3</xdr:row>
      <xdr:rowOff>19050</xdr:rowOff>
    </xdr:from>
    <xdr:to>
      <xdr:col>13</xdr:col>
      <xdr:colOff>511234</xdr:colOff>
      <xdr:row>6</xdr:row>
      <xdr:rowOff>4650</xdr:rowOff>
    </xdr:to>
    <xdr:pic>
      <xdr:nvPicPr>
        <xdr:cNvPr id="16391" name="Picture 5">
          <a:extLst>
            <a:ext uri="{FF2B5EF4-FFF2-40B4-BE49-F238E27FC236}">
              <a16:creationId xmlns:a16="http://schemas.microsoft.com/office/drawing/2014/main" xmlns="" id="{00000000-0008-0000-0900-000007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36246" y="609600"/>
          <a:ext cx="1028038" cy="90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eterduday/Documents/CPI/R&#252;ckenbreitenrechner/CPI-Rueckenstaerke_V2_005barbar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Papierliste"/>
      <sheetName val="AufrissKartonumschlag"/>
      <sheetName val="AufrissKlappenbroschur"/>
      <sheetName val="AufrissSchutzumschlag"/>
      <sheetName val="AufrissBezug"/>
      <sheetName val="Halbleinenband"/>
      <sheetName val="AufrissSmartCover"/>
      <sheetName val="Rückentabelle TB"/>
      <sheetName val="Rückentabelle HC rund"/>
      <sheetName val="Rückentabelle HC gerade"/>
      <sheetName val="AufrissBarbara (2)"/>
      <sheetName val="AufrissBarbara 1 Klap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ables/table1.xml><?xml version="1.0" encoding="utf-8"?>
<table xmlns="http://schemas.openxmlformats.org/spreadsheetml/2006/main" id="1" name="Liste1" displayName="Liste1" ref="A1:I38" insertRowShift="1" totalsRowShown="0" headerRowDxfId="40" dataDxfId="39">
  <autoFilter ref="A1:I38"/>
  <sortState ref="A2:I39">
    <sortCondition ref="A1:A39"/>
  </sortState>
  <tableColumns count="9">
    <tableColumn id="1" name="idxPapier" dataDxfId="38">
      <calculatedColumnFormula>CONCATENATE(B2,C2,D2)</calculatedColumnFormula>
    </tableColumn>
    <tableColumn id="2" name="Sorte" dataDxfId="37"/>
    <tableColumn id="3" name="Gewicht" dataDxfId="36"/>
    <tableColumn id="4" name="Volumen" dataDxfId="35"/>
    <tableColumn id="5" name="idx" dataDxfId="34">
      <calculatedColumnFormula>ROW()-1</calculatedColumnFormula>
    </tableColumn>
    <tableColumn id="12" name="0" dataDxfId="33">
      <calculatedColumnFormula>IF(B2=B1,F1,F1+1)</calculatedColumnFormula>
    </tableColumn>
    <tableColumn id="9" name="Abschlag" dataDxfId="32"/>
    <tableColumn id="10" name="Bemerkung 1" dataDxfId="31"/>
    <tableColumn id="11" name="Bemerkung 2" dataDxfId="3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pi-print.de/services/ruckenbreitenberechnung-und-datenanlieferung/" TargetMode="External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>
    <pageSetUpPr fitToPage="1"/>
  </sheetPr>
  <dimension ref="A1:AC207"/>
  <sheetViews>
    <sheetView tabSelected="1" view="pageLayout" zoomScale="150" zoomScaleNormal="150" zoomScalePageLayoutView="150" workbookViewId="0">
      <selection activeCell="H8" sqref="H8"/>
    </sheetView>
  </sheetViews>
  <sheetFormatPr baseColWidth="10" defaultColWidth="10.83203125" defaultRowHeight="13" x14ac:dyDescent="0"/>
  <cols>
    <col min="1" max="1" width="16.6640625" style="6" customWidth="1"/>
    <col min="2" max="2" width="11" style="6" customWidth="1"/>
    <col min="3" max="3" width="9.1640625" style="6" customWidth="1"/>
    <col min="4" max="4" width="10.6640625" style="6" customWidth="1"/>
    <col min="5" max="5" width="14.6640625" style="6" customWidth="1"/>
    <col min="6" max="6" width="41.5" style="6" customWidth="1"/>
    <col min="7" max="7" width="5.6640625" style="6" customWidth="1"/>
    <col min="8" max="8" width="20.5" style="6" customWidth="1"/>
    <col min="9" max="9" width="4.5" style="6" hidden="1" customWidth="1"/>
    <col min="10" max="10" width="11.33203125" style="6" hidden="1" customWidth="1"/>
    <col min="11" max="11" width="8.1640625" style="6" hidden="1" customWidth="1"/>
    <col min="12" max="12" width="6" style="6" hidden="1" customWidth="1"/>
    <col min="13" max="13" width="3.5" style="6" hidden="1" customWidth="1"/>
    <col min="14" max="14" width="9.1640625" style="6" hidden="1" customWidth="1"/>
    <col min="15" max="15" width="10.6640625" style="6" hidden="1" customWidth="1"/>
    <col min="16" max="17" width="11.5" style="6" hidden="1" customWidth="1"/>
    <col min="18" max="18" width="15" style="6" hidden="1" customWidth="1"/>
    <col min="19" max="22" width="11.5" style="6" hidden="1" customWidth="1"/>
    <col min="23" max="23" width="18.1640625" style="6" hidden="1" customWidth="1"/>
    <col min="24" max="24" width="13.33203125" style="6" hidden="1" customWidth="1"/>
    <col min="25" max="26" width="11.5" style="6" hidden="1" customWidth="1"/>
    <col min="27" max="27" width="10.83203125" style="6"/>
    <col min="28" max="28" width="10.83203125" style="16"/>
    <col min="29" max="29" width="10.83203125" style="6" hidden="1" customWidth="1"/>
    <col min="30" max="16384" width="10.83203125" style="6"/>
  </cols>
  <sheetData>
    <row r="1" spans="1:29">
      <c r="A1" s="105"/>
      <c r="B1" s="105"/>
      <c r="C1" s="105"/>
      <c r="D1" s="105"/>
      <c r="E1" s="105"/>
      <c r="F1" s="105"/>
      <c r="G1" s="110"/>
      <c r="H1" s="111"/>
      <c r="AC1" s="119" t="s">
        <v>215</v>
      </c>
    </row>
    <row r="2" spans="1:29">
      <c r="A2" s="105" t="str">
        <f ca="1">txtVerlag</f>
        <v>Verlag</v>
      </c>
      <c r="B2" s="125"/>
      <c r="C2" s="125"/>
      <c r="D2" s="125"/>
      <c r="E2" s="125"/>
      <c r="F2" s="113" t="s">
        <v>0</v>
      </c>
      <c r="G2" s="112" t="s">
        <v>1</v>
      </c>
      <c r="H2" s="105"/>
      <c r="R2" s="6" t="s">
        <v>2</v>
      </c>
      <c r="S2" s="6" t="str">
        <f>CONCATENATE(B2)</f>
        <v/>
      </c>
      <c r="AC2" s="120" t="s">
        <v>214</v>
      </c>
    </row>
    <row r="3" spans="1:29">
      <c r="A3" s="105"/>
      <c r="B3" s="105"/>
      <c r="C3" s="105"/>
      <c r="D3" s="105"/>
      <c r="E3" s="105"/>
      <c r="F3" s="105"/>
      <c r="G3" s="110"/>
      <c r="H3" s="110"/>
      <c r="AA3" s="118"/>
    </row>
    <row r="4" spans="1:29">
      <c r="A4" s="105" t="str">
        <f ca="1">txtTitel</f>
        <v>Titel</v>
      </c>
      <c r="B4" s="125"/>
      <c r="C4" s="125"/>
      <c r="D4" s="125"/>
      <c r="E4" s="125"/>
      <c r="F4" s="105"/>
      <c r="G4" s="110"/>
      <c r="H4" s="110"/>
      <c r="R4" s="6" t="s">
        <v>3</v>
      </c>
      <c r="S4" s="6" t="str">
        <f>CONCATENATE(B4)</f>
        <v/>
      </c>
      <c r="AB4" s="121"/>
    </row>
    <row r="5" spans="1:29" s="91" customFormat="1">
      <c r="A5" s="105"/>
      <c r="B5" s="105"/>
      <c r="C5" s="105"/>
      <c r="D5" s="105"/>
      <c r="E5" s="105"/>
      <c r="F5" s="105"/>
      <c r="G5" s="110"/>
      <c r="H5" s="110"/>
      <c r="AB5" s="15"/>
    </row>
    <row r="6" spans="1:29" s="91" customFormat="1">
      <c r="A6" s="105"/>
      <c r="B6" s="122" t="str">
        <f>AC1&amp;TEXT(H7,)&amp;TEXT(AC2,)</f>
        <v>Hier klicken um zu prüfen, ob die Version   3.22KD01   noch aktuell ist!</v>
      </c>
      <c r="C6" s="105"/>
      <c r="D6" s="105"/>
      <c r="E6" s="105"/>
      <c r="F6" s="105"/>
      <c r="G6" s="110"/>
      <c r="H6" s="110"/>
      <c r="AB6" s="15"/>
    </row>
    <row r="7" spans="1:29">
      <c r="A7" s="103" t="str">
        <f ca="1">txtBuchblock</f>
        <v>Buchblock</v>
      </c>
      <c r="B7" s="104"/>
      <c r="C7" s="104"/>
      <c r="D7" s="104"/>
      <c r="E7" s="104"/>
      <c r="F7" s="104"/>
      <c r="G7" s="104"/>
      <c r="H7" s="123" t="s">
        <v>216</v>
      </c>
    </row>
    <row r="8" spans="1:29">
      <c r="A8" s="100"/>
      <c r="B8" s="100"/>
      <c r="C8" s="100"/>
      <c r="D8" s="100"/>
      <c r="E8" s="100"/>
      <c r="F8" s="100"/>
      <c r="G8" s="101"/>
      <c r="H8" s="101"/>
    </row>
    <row r="9" spans="1:29">
      <c r="A9" s="102" t="str">
        <f ca="1">CONCATENATE(txtFormat,"    ",txtBreite)</f>
        <v>Format    Breite</v>
      </c>
      <c r="B9" s="28"/>
      <c r="C9" s="100" t="s">
        <v>4</v>
      </c>
      <c r="D9" s="102" t="str">
        <f ca="1">CONCATENATE("  ",txtHöhe)</f>
        <v xml:space="preserve">  Höhe</v>
      </c>
      <c r="E9" s="28"/>
      <c r="F9" s="100" t="s">
        <v>4</v>
      </c>
      <c r="G9" s="101"/>
      <c r="H9" s="101"/>
      <c r="R9" s="6" t="s">
        <v>5</v>
      </c>
      <c r="S9" s="6" t="str">
        <f ca="1">CONCATENATE(B9," x ",E9," mm","; ",strBindeart)</f>
        <v xml:space="preserve"> x  mm; Klebebindung</v>
      </c>
    </row>
    <row r="10" spans="1:29">
      <c r="A10" s="100"/>
      <c r="B10" s="100"/>
      <c r="C10" s="100"/>
      <c r="D10" s="100"/>
      <c r="E10" s="100"/>
      <c r="F10" s="100"/>
      <c r="G10" s="100"/>
      <c r="H10" s="100"/>
      <c r="I10" s="116"/>
      <c r="J10" s="6" t="s">
        <v>6</v>
      </c>
      <c r="K10" s="6" t="s">
        <v>7</v>
      </c>
      <c r="L10" s="6" t="s">
        <v>8</v>
      </c>
      <c r="N10" s="6" t="s">
        <v>9</v>
      </c>
      <c r="O10" s="6" t="s">
        <v>10</v>
      </c>
      <c r="P10" s="6" t="s">
        <v>11</v>
      </c>
      <c r="R10" s="6" t="s">
        <v>12</v>
      </c>
      <c r="S10" s="6" t="str">
        <f>CONCATENATE(FormatBreite," mm")</f>
        <v xml:space="preserve"> mm</v>
      </c>
      <c r="W10" s="6" t="s">
        <v>13</v>
      </c>
      <c r="X10" s="6">
        <f>IF(D12&gt;=2.2,0.92,IF(D12&gt;=1.75,0.95,IF(D12&gt;=1.5,0.97,1)))</f>
        <v>1</v>
      </c>
    </row>
    <row r="11" spans="1:29">
      <c r="A11" s="100"/>
      <c r="B11" s="102" t="str">
        <f ca="1">txtUmfang</f>
        <v>Umfang</v>
      </c>
      <c r="C11" s="102" t="str">
        <f ca="1">txtGewicht</f>
        <v xml:space="preserve">Gewicht </v>
      </c>
      <c r="D11" s="102" t="str">
        <f ca="1">txtVolumen</f>
        <v>Volumen</v>
      </c>
      <c r="E11" s="108" t="str">
        <f ca="1">txtBlattstärke</f>
        <v>Blattstärke</v>
      </c>
      <c r="F11" s="102" t="str">
        <f ca="1">txtMaterial</f>
        <v>Material</v>
      </c>
      <c r="G11" s="100"/>
      <c r="H11" s="100"/>
      <c r="I11" s="116"/>
      <c r="R11" s="6" t="s">
        <v>14</v>
      </c>
      <c r="S11" s="6" t="str">
        <f>CONCATENATE(FormatHöhe," mm")</f>
        <v xml:space="preserve"> mm</v>
      </c>
    </row>
    <row r="12" spans="1:29">
      <c r="A12" s="102" t="str">
        <f ca="1">txtTextteil</f>
        <v>Textteil</v>
      </c>
      <c r="B12" s="28"/>
      <c r="C12" s="28"/>
      <c r="D12" s="28"/>
      <c r="E12" s="106" t="str">
        <f>IF(B12&gt;0,P12/B12*2,"")</f>
        <v/>
      </c>
      <c r="F12" s="28"/>
      <c r="G12" s="124" t="str">
        <f>T(INDEX(Bemerkung_1,L12))</f>
        <v/>
      </c>
      <c r="H12" s="124"/>
      <c r="J12" s="6" t="e">
        <f>VLOOKUP(CONCATENATE(F12,C12,D12),defPapier,5,FALSE)</f>
        <v>#N/A</v>
      </c>
      <c r="K12" s="6" t="e">
        <f>VLOOKUP(F12,defPapier,5,FALSE)</f>
        <v>#N/A</v>
      </c>
      <c r="L12" s="6">
        <f>IF(ISNA(J12),IF(ISNA(K12),VLOOKUP("00_Chromaberechnung",defPapier,5,FALSE),K12),J12)</f>
        <v>1</v>
      </c>
      <c r="M12" s="116"/>
      <c r="N12" s="6">
        <f>INDEX(Abschlag,L12)</f>
        <v>0</v>
      </c>
      <c r="O12" s="116">
        <f>PRODUCT(B12*C12*D12)/2000</f>
        <v>0</v>
      </c>
      <c r="P12" s="6">
        <f>O12*IF(N12=0,IF(D12&gt;=2.2,0.92,IF(D12&gt;=1.75,0.95,IF(D12&gt;=1.5,0.97,1))),N12)</f>
        <v>0</v>
      </c>
      <c r="R12" s="6" t="s">
        <v>16</v>
      </c>
      <c r="S12" s="6" t="str">
        <f ca="1">CONCATENATE(B12,IF(B14="",""," / "),B14,IF(B14="",""," / "),B16," ",txtSeiten)</f>
        <v xml:space="preserve"> Seiten</v>
      </c>
    </row>
    <row r="13" spans="1:29">
      <c r="A13" s="100"/>
      <c r="B13" s="100"/>
      <c r="C13" s="100"/>
      <c r="D13" s="100"/>
      <c r="E13" s="100"/>
      <c r="F13" s="100"/>
      <c r="G13" s="100"/>
      <c r="H13" s="100"/>
      <c r="I13" s="116"/>
    </row>
    <row r="14" spans="1:29">
      <c r="A14" s="102" t="str">
        <f ca="1">CONCATENATE(txtBildteil,"_1")</f>
        <v>Bildteil_1</v>
      </c>
      <c r="B14" s="28"/>
      <c r="C14" s="28"/>
      <c r="D14" s="29"/>
      <c r="E14" s="106" t="str">
        <f>IF(B14&gt;0,P14/B14*2,"")</f>
        <v/>
      </c>
      <c r="F14" s="28"/>
      <c r="G14" s="124" t="str">
        <f>T(INDEX(Bemerkung_1,L14))</f>
        <v/>
      </c>
      <c r="H14" s="124"/>
      <c r="I14" s="116"/>
      <c r="J14" s="6" t="e">
        <f>VLOOKUP(CONCATENATE(F14,C14,D14),defPapier,5,FALSE)</f>
        <v>#N/A</v>
      </c>
      <c r="K14" s="6" t="e">
        <f>VLOOKUP(F14,defPapier,5,FALSE)</f>
        <v>#N/A</v>
      </c>
      <c r="L14" s="6">
        <f>IF(ISNA(J14),IF(ISNA(K14),VLOOKUP("00_Chromaberechnung",defPapier,5,FALSE),K14),J14)</f>
        <v>1</v>
      </c>
      <c r="N14" s="6">
        <f>INDEX(Abschlag,L14)</f>
        <v>0</v>
      </c>
      <c r="O14" s="116">
        <f>PRODUCT(B14*C14*D14)/2000</f>
        <v>0</v>
      </c>
      <c r="P14" s="6">
        <f>O14*IF(N14=0,IF(D14&gt;=2.2,0.92,IF(D14&gt;=1.75,0.95,IF(D14&gt;=1.5,0.97,1))),N14)</f>
        <v>0</v>
      </c>
      <c r="R14" s="6" t="s">
        <v>17</v>
      </c>
      <c r="S14" s="6" t="str">
        <f>CONCATENATE(C12," g/m² ",F12," ",D12,"fach")</f>
        <v xml:space="preserve"> g/m²  fach</v>
      </c>
    </row>
    <row r="15" spans="1:29">
      <c r="A15" s="100"/>
      <c r="B15" s="100"/>
      <c r="C15" s="100"/>
      <c r="D15" s="100"/>
      <c r="E15" s="100"/>
      <c r="F15" s="100"/>
      <c r="G15" s="100"/>
      <c r="H15" s="100"/>
      <c r="I15" s="116"/>
    </row>
    <row r="16" spans="1:29">
      <c r="A16" s="102" t="str">
        <f ca="1">CONCATENATE(txtBildteil,"_2")</f>
        <v>Bildteil_2</v>
      </c>
      <c r="B16" s="28"/>
      <c r="C16" s="28"/>
      <c r="D16" s="28"/>
      <c r="E16" s="106" t="str">
        <f>IF(B16&gt;0,P16/B16*2,"")</f>
        <v/>
      </c>
      <c r="F16" s="28"/>
      <c r="G16" s="124" t="str">
        <f>T(INDEX(Bemerkung_1,L16))</f>
        <v/>
      </c>
      <c r="H16" s="124"/>
      <c r="J16" s="6" t="e">
        <f>VLOOKUP(CONCATENATE(F16,C16,D16),defPapier,5,FALSE)</f>
        <v>#N/A</v>
      </c>
      <c r="K16" s="6" t="e">
        <f>VLOOKUP(F16,defPapier,5,FALSE)</f>
        <v>#N/A</v>
      </c>
      <c r="L16" s="6">
        <f>IF(ISNA(J16),IF(ISNA(K16),VLOOKUP("00_Chromaberechnung",defPapier,5,FALSE),K16),J16)</f>
        <v>1</v>
      </c>
      <c r="N16" s="6">
        <f>INDEX(Abschlag,L16)</f>
        <v>0</v>
      </c>
      <c r="O16" s="116">
        <f>PRODUCT(B16*C16*D16)/2000</f>
        <v>0</v>
      </c>
      <c r="P16" s="6">
        <f>O16*IF(N16=0,IF(D16&gt;=2.2,0.92,IF(D16&gt;=1.75,0.95,IF(D16&gt;=1.5,0.97,1))),N16)</f>
        <v>0</v>
      </c>
    </row>
    <row r="17" spans="1:22">
      <c r="A17" s="100"/>
      <c r="B17" s="100"/>
      <c r="C17" s="100"/>
      <c r="D17" s="100"/>
      <c r="E17" s="100"/>
      <c r="F17" s="100"/>
      <c r="G17" s="100"/>
      <c r="H17" s="100"/>
      <c r="I17" s="116"/>
    </row>
    <row r="18" spans="1:22">
      <c r="A18" s="102" t="str">
        <f ca="1">txtVorsatz</f>
        <v>Vorsatz</v>
      </c>
      <c r="B18" s="28"/>
      <c r="C18" s="28"/>
      <c r="D18" s="28"/>
      <c r="E18" s="106" t="str">
        <f>IF(B18&gt;0,P18/B18*2,"")</f>
        <v/>
      </c>
      <c r="F18" s="28"/>
      <c r="G18" s="124" t="str">
        <f>T(INDEX(Bemerkung_1,L18))</f>
        <v/>
      </c>
      <c r="H18" s="124"/>
      <c r="J18" s="6" t="e">
        <f>VLOOKUP(CONCATENATE(F18,C18,D18),defPapier,5,FALSE)</f>
        <v>#N/A</v>
      </c>
      <c r="K18" s="6" t="e">
        <f>VLOOKUP(F18,defPapier,5,FALSE)</f>
        <v>#N/A</v>
      </c>
      <c r="L18" s="6">
        <f>IF(ISNA(J18),IF(ISNA(K18),VLOOKUP("00_Chromaberechnung",defPapier,5,FALSE),K18),J18)</f>
        <v>1</v>
      </c>
      <c r="N18" s="6">
        <f>INDEX(Abschlag,L18)</f>
        <v>0</v>
      </c>
      <c r="O18" s="116">
        <f>PRODUCT(B18*C18*D18)/2000</f>
        <v>0</v>
      </c>
      <c r="P18" s="6">
        <f>O18*IF(N18=0,IF(D18&gt;=2.2,0.92,IF(D18&gt;=1.75,0.95,IF(D18&gt;=1.5,0.97,1))),N18)</f>
        <v>0</v>
      </c>
      <c r="R18" s="6" t="s">
        <v>19</v>
      </c>
      <c r="S18" s="6" t="str">
        <f>CONCATENATE(C18," g/m² ",F18," ",D18,"fach")</f>
        <v xml:space="preserve"> g/m²  fach</v>
      </c>
    </row>
    <row r="19" spans="1:22">
      <c r="A19" s="102"/>
      <c r="B19" s="100"/>
      <c r="C19" s="100"/>
      <c r="D19" s="100"/>
      <c r="E19" s="100"/>
      <c r="F19" s="100"/>
      <c r="G19" s="100"/>
      <c r="H19" s="100"/>
      <c r="O19" s="116"/>
    </row>
    <row r="20" spans="1:22">
      <c r="A20" s="100"/>
      <c r="B20" s="100"/>
      <c r="C20" s="100"/>
      <c r="D20" s="100"/>
      <c r="E20" s="100"/>
      <c r="F20" s="100"/>
      <c r="G20" s="100"/>
      <c r="H20" s="100"/>
      <c r="O20" s="6" t="s">
        <v>20</v>
      </c>
      <c r="P20" s="6">
        <f>SUM(P12:P18)</f>
        <v>0</v>
      </c>
      <c r="U20" s="6" t="s">
        <v>21</v>
      </c>
      <c r="V20" s="6">
        <f>FormatBreite - TbRuecken - 10</f>
        <v>-10.5</v>
      </c>
    </row>
    <row r="21" spans="1:22">
      <c r="A21" s="100"/>
      <c r="B21" s="100"/>
      <c r="C21" s="100"/>
      <c r="D21" s="100"/>
      <c r="E21" s="100"/>
      <c r="F21" s="100"/>
      <c r="G21" s="100"/>
      <c r="H21" s="100"/>
    </row>
    <row r="22" spans="1:22">
      <c r="A22" s="102" t="str">
        <f ca="1">txtBindeart</f>
        <v>Bindeart</v>
      </c>
      <c r="B22" s="100"/>
      <c r="C22" s="28">
        <v>0</v>
      </c>
      <c r="D22" s="100" t="str">
        <f ca="1">txtSeiten_je_Lage</f>
        <v>Seiten je Lage</v>
      </c>
      <c r="E22" s="100"/>
      <c r="F22" s="100" t="str">
        <f ca="1">CONCATENATE("0 = ",txtKlebebindung,"; &lt;&gt; 0 = ",txtFadenheftung)</f>
        <v>0 = Klebebindung; &lt;&gt; 0 = Fadenheftung</v>
      </c>
      <c r="G22" s="100"/>
      <c r="H22" s="100"/>
      <c r="O22" s="6" t="s">
        <v>22</v>
      </c>
      <c r="P22" s="6">
        <f>IF(C22=0,0,SUM(B12:B16)/C22*(0.1+(0.059/32*C22)))</f>
        <v>0</v>
      </c>
      <c r="R22" s="6" t="s">
        <v>23</v>
      </c>
      <c r="S22" s="6" t="str">
        <f ca="1">CONCATENATE(IF(C22=0,txtKlebebindung,txtFadenheftung))</f>
        <v>Klebebindung</v>
      </c>
    </row>
    <row r="23" spans="1:22">
      <c r="A23" s="100"/>
      <c r="B23" s="100"/>
      <c r="C23" s="100"/>
      <c r="D23" s="100"/>
      <c r="E23" s="100"/>
      <c r="F23" s="100"/>
      <c r="G23" s="100"/>
      <c r="H23" s="100"/>
    </row>
    <row r="24" spans="1:22">
      <c r="A24" s="103" t="str">
        <f ca="1">txtBroschuren</f>
        <v>Broschuren</v>
      </c>
      <c r="B24" s="104"/>
      <c r="C24" s="104"/>
      <c r="D24" s="104"/>
      <c r="E24" s="104"/>
      <c r="F24" s="104"/>
      <c r="G24" s="104"/>
      <c r="H24" s="104"/>
    </row>
    <row r="25" spans="1:22">
      <c r="A25" s="100"/>
      <c r="B25" s="100"/>
      <c r="C25" s="100"/>
      <c r="D25" s="100"/>
      <c r="E25" s="100"/>
      <c r="F25" s="100"/>
      <c r="G25" s="100"/>
      <c r="H25" s="100"/>
    </row>
    <row r="26" spans="1:22">
      <c r="A26" s="102" t="str">
        <f ca="1">txtUmschlag</f>
        <v>Umschlag</v>
      </c>
      <c r="B26" s="100"/>
      <c r="C26" s="28">
        <v>230</v>
      </c>
      <c r="D26" s="100" t="s">
        <v>24</v>
      </c>
      <c r="E26" s="100"/>
      <c r="F26" s="100"/>
      <c r="G26" s="100"/>
      <c r="H26" s="100"/>
      <c r="P26" s="6">
        <f>IF(GewUS&lt;230,IF(GewUS=0,0,0.5),0.7)</f>
        <v>0.7</v>
      </c>
      <c r="R26" s="6" t="s">
        <v>25</v>
      </c>
      <c r="S26" s="6" t="str">
        <f>CONCATENATE(C26," g/m² ")</f>
        <v xml:space="preserve">230 g/m² </v>
      </c>
    </row>
    <row r="27" spans="1:22">
      <c r="A27" s="100"/>
      <c r="B27" s="100"/>
      <c r="C27" s="100"/>
      <c r="D27" s="100"/>
      <c r="E27" s="100"/>
      <c r="F27" s="100"/>
      <c r="G27" s="100"/>
      <c r="H27" s="100"/>
    </row>
    <row r="28" spans="1:22">
      <c r="A28" s="102" t="str">
        <f ca="1">txtRückenbreite</f>
        <v>Rückenbreite</v>
      </c>
      <c r="B28" s="100"/>
      <c r="C28" s="107">
        <f>ROUND(Ruecken/0.5,0)*0.5</f>
        <v>0.5</v>
      </c>
      <c r="D28" s="100" t="s">
        <v>4</v>
      </c>
      <c r="E28" s="100"/>
      <c r="F28" s="100"/>
      <c r="G28" s="100"/>
      <c r="H28" s="100"/>
      <c r="P28" s="6">
        <f>SUM(P20:P27)</f>
        <v>0.7</v>
      </c>
      <c r="R28" s="6" t="s">
        <v>26</v>
      </c>
      <c r="S28" s="6" t="str">
        <f>CONCATENATE(TbRuecken," mm")</f>
        <v>0,5 mm</v>
      </c>
    </row>
    <row r="29" spans="1:22">
      <c r="A29" s="100"/>
      <c r="B29" s="100"/>
      <c r="C29" s="100"/>
      <c r="D29" s="100"/>
      <c r="E29" s="100"/>
      <c r="F29" s="100"/>
      <c r="G29" s="100"/>
      <c r="H29" s="100"/>
    </row>
    <row r="30" spans="1:22">
      <c r="A30" s="103" t="str">
        <f ca="1">txtHardcover</f>
        <v>Hardcover</v>
      </c>
      <c r="B30" s="104"/>
      <c r="C30" s="104"/>
      <c r="D30" s="104"/>
      <c r="E30" s="104"/>
      <c r="F30" s="103"/>
      <c r="G30" s="104"/>
      <c r="H30" s="104"/>
    </row>
    <row r="31" spans="1:22">
      <c r="A31" s="100"/>
      <c r="B31" s="100"/>
      <c r="C31" s="100"/>
      <c r="D31" s="100"/>
      <c r="E31" s="100"/>
      <c r="F31" s="100"/>
      <c r="G31" s="100"/>
      <c r="H31" s="100"/>
    </row>
    <row r="32" spans="1:22">
      <c r="A32" s="102" t="str">
        <f ca="1">txtPappe</f>
        <v>Pappe</v>
      </c>
      <c r="B32" s="100"/>
      <c r="C32" s="28">
        <v>1.5</v>
      </c>
      <c r="D32" s="100" t="s">
        <v>4</v>
      </c>
      <c r="E32" s="100"/>
      <c r="F32" s="102"/>
      <c r="G32" s="100"/>
      <c r="H32" s="100"/>
      <c r="O32" s="6" t="s">
        <v>27</v>
      </c>
      <c r="P32" s="6">
        <f>(IF(Pappe&lt;=0.5,FormatBreite-4,IF(Pappe&lt;=1.8,FormatBreite-5,IF(Pappe&lt;=2.5,FormatBreite-6,IF(Pappe&lt;=4,FormatBreite-7,"")))))-2.5</f>
        <v>-7.5</v>
      </c>
      <c r="Q32" s="6" t="s">
        <v>28</v>
      </c>
      <c r="R32" s="6" t="s">
        <v>29</v>
      </c>
      <c r="S32" s="6" t="str">
        <f>CONCATENATE(Pappe," mm")</f>
        <v>1,5 mm</v>
      </c>
    </row>
    <row r="33" spans="1:28">
      <c r="A33" s="100"/>
      <c r="B33" s="100"/>
      <c r="C33" s="100"/>
      <c r="D33" s="100"/>
      <c r="E33" s="100"/>
      <c r="F33" s="102"/>
      <c r="G33" s="100"/>
      <c r="H33" s="100"/>
      <c r="O33" s="6" t="s">
        <v>30</v>
      </c>
      <c r="P33" s="6">
        <f>IF(Pappe&lt;=1.8,7.5,IF(Pappe&lt;=2.5,8.5,IF(Pappe&gt;2.5,10,"")))</f>
        <v>7.5</v>
      </c>
    </row>
    <row r="34" spans="1:28">
      <c r="A34" s="102" t="str">
        <f ca="1">txtRückenbreite</f>
        <v>Rückenbreite</v>
      </c>
      <c r="B34" s="30" t="s">
        <v>31</v>
      </c>
      <c r="C34" s="107">
        <f>IF(B34="rund",ROUND(SchrenzRund/0.5,0)*0.5,ROUND(SchrenzGerade/0.5,0)*0.5)</f>
        <v>3</v>
      </c>
      <c r="D34" s="100" t="s">
        <v>4</v>
      </c>
      <c r="E34" s="100" t="s">
        <v>32</v>
      </c>
      <c r="F34" s="102"/>
      <c r="G34" s="100"/>
      <c r="H34" s="100"/>
      <c r="O34" s="6" t="s">
        <v>33</v>
      </c>
      <c r="P34" s="6">
        <f>2*Pappe+Blockstaerke</f>
        <v>3</v>
      </c>
    </row>
    <row r="35" spans="1:28">
      <c r="A35" s="100"/>
      <c r="B35" s="100"/>
      <c r="C35" s="100"/>
      <c r="D35" s="100"/>
      <c r="E35" s="100"/>
      <c r="F35" s="100"/>
      <c r="G35" s="100"/>
      <c r="H35" s="100"/>
    </row>
    <row r="36" spans="1:28">
      <c r="A36" s="102"/>
      <c r="B36" s="100"/>
      <c r="C36" s="100"/>
      <c r="D36" s="100"/>
      <c r="E36" s="100"/>
      <c r="F36" s="100"/>
      <c r="G36" s="100"/>
      <c r="H36" s="100"/>
      <c r="O36" s="6" t="s">
        <v>34</v>
      </c>
      <c r="P36" s="6">
        <f>((0.68-(0.000015*POWER(Blockstaerke,2)-0.0022))*(2*Pappe+Blockstaerke)-0.5)*102*PI()/180</f>
        <v>2.7533127455571189</v>
      </c>
    </row>
    <row r="37" spans="1:28" hidden="1">
      <c r="A37" s="18"/>
      <c r="B37" s="18"/>
      <c r="C37" s="18"/>
      <c r="D37" s="18"/>
      <c r="E37" s="18"/>
      <c r="F37" s="18"/>
      <c r="G37" s="18"/>
      <c r="H37" s="18"/>
    </row>
    <row r="38" spans="1:28" s="31" customFormat="1">
      <c r="AB38" s="16"/>
    </row>
    <row r="39" spans="1:28" s="31" customFormat="1">
      <c r="AB39" s="16"/>
    </row>
    <row r="40" spans="1:28" s="31" customFormat="1">
      <c r="AB40" s="16"/>
    </row>
    <row r="41" spans="1:28" s="31" customFormat="1">
      <c r="AB41" s="16"/>
    </row>
    <row r="42" spans="1:28" s="31" customFormat="1">
      <c r="AB42" s="16"/>
    </row>
    <row r="43" spans="1:28" s="31" customFormat="1">
      <c r="AB43" s="16"/>
    </row>
    <row r="44" spans="1:28" s="31" customFormat="1">
      <c r="AB44" s="16"/>
    </row>
    <row r="45" spans="1:28" s="31" customFormat="1">
      <c r="AB45" s="16"/>
    </row>
    <row r="46" spans="1:28" s="31" customFormat="1">
      <c r="AB46" s="16"/>
    </row>
    <row r="47" spans="1:28" s="31" customFormat="1">
      <c r="AB47" s="16"/>
    </row>
    <row r="48" spans="1:28" s="31" customFormat="1">
      <c r="AB48" s="16"/>
    </row>
    <row r="49" spans="17:28" s="31" customFormat="1">
      <c r="Q49" s="32"/>
      <c r="AB49" s="16"/>
    </row>
    <row r="50" spans="17:28" s="31" customFormat="1" ht="12.75" customHeight="1">
      <c r="Q50" s="32"/>
      <c r="AB50" s="16"/>
    </row>
    <row r="51" spans="17:28" s="31" customFormat="1">
      <c r="Q51" s="32"/>
      <c r="AB51" s="16"/>
    </row>
    <row r="52" spans="17:28" s="31" customFormat="1">
      <c r="Q52" s="32"/>
      <c r="AB52" s="16"/>
    </row>
    <row r="53" spans="17:28" s="31" customFormat="1">
      <c r="Q53" s="32"/>
      <c r="AB53" s="16"/>
    </row>
    <row r="54" spans="17:28" s="31" customFormat="1">
      <c r="Q54" s="32"/>
      <c r="AB54" s="16"/>
    </row>
    <row r="55" spans="17:28" s="31" customFormat="1">
      <c r="Q55" s="32"/>
      <c r="AB55" s="16"/>
    </row>
    <row r="56" spans="17:28" s="31" customFormat="1">
      <c r="AB56" s="16"/>
    </row>
    <row r="57" spans="17:28" s="31" customFormat="1">
      <c r="AB57" s="16"/>
    </row>
    <row r="58" spans="17:28" s="31" customFormat="1">
      <c r="AB58" s="16"/>
    </row>
    <row r="59" spans="17:28" s="31" customFormat="1">
      <c r="AB59" s="16"/>
    </row>
    <row r="60" spans="17:28" s="31" customFormat="1">
      <c r="AB60" s="16"/>
    </row>
    <row r="61" spans="17:28" s="31" customFormat="1">
      <c r="AB61" s="16"/>
    </row>
    <row r="62" spans="17:28" s="31" customFormat="1">
      <c r="AB62" s="16"/>
    </row>
    <row r="63" spans="17:28" s="31" customFormat="1">
      <c r="AB63" s="16"/>
    </row>
    <row r="64" spans="17:28" s="31" customFormat="1">
      <c r="AB64" s="16"/>
    </row>
    <row r="65" spans="1:28" s="31" customFormat="1">
      <c r="AB65" s="16"/>
    </row>
    <row r="66" spans="1:28" s="31" customFormat="1">
      <c r="AB66" s="16"/>
    </row>
    <row r="67" spans="1:28" s="31" customFormat="1">
      <c r="AB67" s="16"/>
    </row>
    <row r="68" spans="1:28" s="31" customFormat="1">
      <c r="AB68" s="16"/>
    </row>
    <row r="69" spans="1:28" s="31" customFormat="1">
      <c r="AB69" s="16"/>
    </row>
    <row r="70" spans="1:28" s="31" customFormat="1">
      <c r="AB70" s="16"/>
    </row>
    <row r="71" spans="1:28" s="31" customFormat="1">
      <c r="AB71" s="16"/>
    </row>
    <row r="72" spans="1:28" s="31" customFormat="1">
      <c r="AB72" s="16"/>
    </row>
    <row r="73" spans="1:28" s="31" customFormat="1">
      <c r="AB73" s="16"/>
    </row>
    <row r="74" spans="1:28" s="31" customFormat="1">
      <c r="AB74" s="16"/>
    </row>
    <row r="75" spans="1:28" s="31" customFormat="1">
      <c r="AB75" s="16"/>
    </row>
    <row r="76" spans="1:28" s="31" customFormat="1">
      <c r="AB76" s="16"/>
    </row>
    <row r="77" spans="1:28" s="31" customFormat="1">
      <c r="A77" s="16"/>
      <c r="AB77" s="16"/>
    </row>
    <row r="78" spans="1:28" s="31" customFormat="1">
      <c r="A78" s="16"/>
      <c r="AB78" s="16"/>
    </row>
    <row r="79" spans="1:28" s="31" customFormat="1">
      <c r="A79" s="16"/>
      <c r="AB79" s="16"/>
    </row>
    <row r="80" spans="1:28" s="31" customFormat="1">
      <c r="A80" s="16"/>
      <c r="AB80" s="16"/>
    </row>
    <row r="81" spans="1:28" s="31" customFormat="1">
      <c r="A81" s="16"/>
      <c r="AB81" s="16"/>
    </row>
    <row r="82" spans="1:28" s="31" customFormat="1">
      <c r="A82" s="16"/>
      <c r="AB82" s="16"/>
    </row>
    <row r="83" spans="1:28" s="31" customFormat="1">
      <c r="A83" s="16"/>
      <c r="AB83" s="16"/>
    </row>
    <row r="84" spans="1:28" s="31" customFormat="1">
      <c r="A84" s="16"/>
      <c r="AB84" s="16"/>
    </row>
    <row r="85" spans="1:28" s="31" customFormat="1">
      <c r="A85" s="16"/>
      <c r="AB85" s="16"/>
    </row>
    <row r="86" spans="1:28" s="31" customFormat="1">
      <c r="A86" s="16"/>
      <c r="AB86" s="16"/>
    </row>
    <row r="87" spans="1:28" s="31" customFormat="1">
      <c r="A87" s="16"/>
      <c r="AB87" s="16"/>
    </row>
    <row r="88" spans="1:28" s="31" customFormat="1">
      <c r="A88" s="16"/>
      <c r="AB88" s="16"/>
    </row>
    <row r="89" spans="1:28" s="31" customFormat="1">
      <c r="A89" s="16"/>
      <c r="AB89" s="16"/>
    </row>
    <row r="90" spans="1:28" s="31" customFormat="1">
      <c r="A90" s="16"/>
      <c r="AB90" s="16"/>
    </row>
    <row r="91" spans="1:28" s="31" customFormat="1">
      <c r="A91" s="16"/>
      <c r="AB91" s="16"/>
    </row>
    <row r="92" spans="1:28" s="31" customFormat="1">
      <c r="A92" s="16"/>
      <c r="AB92" s="16"/>
    </row>
    <row r="93" spans="1:28" s="31" customFormat="1">
      <c r="A93" s="16"/>
      <c r="AB93" s="16"/>
    </row>
    <row r="94" spans="1:28" s="31" customFormat="1">
      <c r="A94" s="16"/>
      <c r="AB94" s="16"/>
    </row>
    <row r="95" spans="1:28" s="31" customFormat="1">
      <c r="A95" s="16"/>
      <c r="AB95" s="16"/>
    </row>
    <row r="96" spans="1:28" s="31" customFormat="1">
      <c r="A96" s="16"/>
      <c r="AB96" s="16"/>
    </row>
    <row r="97" spans="1:28" s="31" customFormat="1">
      <c r="A97" s="16"/>
      <c r="AB97" s="16"/>
    </row>
    <row r="98" spans="1:28" s="31" customFormat="1">
      <c r="A98" s="16"/>
      <c r="AB98" s="16"/>
    </row>
    <row r="99" spans="1:28" s="31" customFormat="1">
      <c r="A99" s="16"/>
      <c r="AB99" s="16"/>
    </row>
    <row r="100" spans="1:28" s="31" customFormat="1">
      <c r="A100" s="16"/>
      <c r="AB100" s="16"/>
    </row>
    <row r="101" spans="1:28" s="31" customFormat="1">
      <c r="A101" s="16"/>
      <c r="AB101" s="16"/>
    </row>
    <row r="102" spans="1:28" s="31" customFormat="1">
      <c r="A102" s="16"/>
      <c r="AB102" s="16"/>
    </row>
    <row r="103" spans="1:28" s="31" customFormat="1">
      <c r="A103" s="16"/>
      <c r="AB103" s="16"/>
    </row>
    <row r="104" spans="1:28" s="31" customFormat="1">
      <c r="A104" s="16"/>
      <c r="AB104" s="16"/>
    </row>
    <row r="105" spans="1:28" s="31" customFormat="1">
      <c r="A105" s="16"/>
      <c r="AB105" s="16"/>
    </row>
    <row r="106" spans="1:28" s="31" customFormat="1">
      <c r="A106" s="16"/>
      <c r="AB106" s="16"/>
    </row>
    <row r="107" spans="1:28" s="31" customFormat="1">
      <c r="A107" s="16"/>
      <c r="AB107" s="16"/>
    </row>
    <row r="108" spans="1:28" s="31" customFormat="1">
      <c r="A108" s="16"/>
      <c r="AB108" s="16"/>
    </row>
    <row r="109" spans="1:28" s="31" customFormat="1">
      <c r="A109" s="16"/>
      <c r="AB109" s="16"/>
    </row>
    <row r="110" spans="1:28" s="31" customFormat="1">
      <c r="A110" s="16"/>
      <c r="AB110" s="16"/>
    </row>
    <row r="111" spans="1:28" s="31" customFormat="1">
      <c r="A111" s="16"/>
      <c r="AB111" s="16"/>
    </row>
    <row r="112" spans="1:28" s="31" customFormat="1">
      <c r="A112" s="16"/>
      <c r="AB112" s="16"/>
    </row>
    <row r="113" spans="1:28" s="31" customFormat="1">
      <c r="A113" s="16"/>
      <c r="AB113" s="16"/>
    </row>
    <row r="114" spans="1:28" s="31" customFormat="1">
      <c r="A114" s="16"/>
      <c r="AB114" s="16"/>
    </row>
    <row r="115" spans="1:28" s="31" customFormat="1">
      <c r="A115" s="16"/>
      <c r="AB115" s="16"/>
    </row>
    <row r="116" spans="1:28" s="31" customFormat="1">
      <c r="A116" s="16"/>
      <c r="AB116" s="16"/>
    </row>
    <row r="117" spans="1:28" s="31" customFormat="1">
      <c r="A117" s="16"/>
      <c r="AB117" s="16"/>
    </row>
    <row r="118" spans="1:28" s="31" customFormat="1">
      <c r="A118" s="16"/>
      <c r="AB118" s="16"/>
    </row>
    <row r="119" spans="1:28" s="31" customFormat="1">
      <c r="A119" s="16"/>
      <c r="AB119" s="16"/>
    </row>
    <row r="120" spans="1:28" s="31" customFormat="1">
      <c r="A120" s="16"/>
      <c r="AB120" s="16"/>
    </row>
    <row r="121" spans="1:28" s="31" customFormat="1">
      <c r="A121" s="16"/>
      <c r="AB121" s="16"/>
    </row>
    <row r="122" spans="1:28" s="31" customFormat="1">
      <c r="A122" s="16"/>
      <c r="AB122" s="16"/>
    </row>
    <row r="123" spans="1:28" s="31" customFormat="1">
      <c r="A123" s="16"/>
      <c r="AB123" s="16"/>
    </row>
    <row r="124" spans="1:28" s="31" customFormat="1">
      <c r="A124" s="16"/>
      <c r="AB124" s="16"/>
    </row>
    <row r="125" spans="1:28" s="31" customFormat="1">
      <c r="A125" s="16"/>
      <c r="AB125" s="16"/>
    </row>
    <row r="126" spans="1:28" s="31" customFormat="1">
      <c r="A126" s="16"/>
      <c r="AB126" s="16"/>
    </row>
    <row r="127" spans="1:28" s="31" customFormat="1">
      <c r="A127" s="16"/>
      <c r="AB127" s="16"/>
    </row>
    <row r="128" spans="1:28" s="31" customFormat="1">
      <c r="A128" s="16"/>
      <c r="AB128" s="16"/>
    </row>
    <row r="129" spans="1:28" s="31" customFormat="1">
      <c r="A129" s="16"/>
      <c r="AB129" s="16"/>
    </row>
    <row r="130" spans="1:28" s="31" customFormat="1">
      <c r="A130" s="16"/>
      <c r="AB130" s="16"/>
    </row>
    <row r="131" spans="1:28" s="31" customFormat="1">
      <c r="A131" s="16"/>
      <c r="AB131" s="16"/>
    </row>
    <row r="132" spans="1:28" s="31" customFormat="1">
      <c r="A132" s="16"/>
      <c r="AB132" s="16"/>
    </row>
    <row r="133" spans="1:28" s="31" customFormat="1">
      <c r="A133" s="16"/>
      <c r="AB133" s="16"/>
    </row>
    <row r="134" spans="1:28" s="31" customFormat="1">
      <c r="A134" s="16"/>
      <c r="AB134" s="16"/>
    </row>
    <row r="135" spans="1:28" s="31" customFormat="1">
      <c r="A135" s="16"/>
      <c r="AB135" s="16"/>
    </row>
    <row r="136" spans="1:28" s="31" customFormat="1">
      <c r="A136" s="16"/>
      <c r="AB136" s="16"/>
    </row>
    <row r="137" spans="1:28" s="31" customFormat="1">
      <c r="A137" s="16"/>
      <c r="AB137" s="16"/>
    </row>
    <row r="138" spans="1:28" s="31" customFormat="1">
      <c r="A138" s="16"/>
      <c r="AB138" s="16"/>
    </row>
    <row r="139" spans="1:28" s="31" customFormat="1">
      <c r="A139" s="16"/>
      <c r="AB139" s="16"/>
    </row>
    <row r="140" spans="1:28" s="31" customFormat="1">
      <c r="A140" s="16"/>
      <c r="AB140" s="16"/>
    </row>
    <row r="141" spans="1:28" s="31" customFormat="1">
      <c r="A141" s="16"/>
      <c r="AB141" s="16"/>
    </row>
    <row r="142" spans="1:28" s="31" customFormat="1">
      <c r="A142" s="16"/>
      <c r="AB142" s="16"/>
    </row>
    <row r="143" spans="1:28" s="31" customFormat="1">
      <c r="A143" s="16"/>
      <c r="AB143" s="16"/>
    </row>
    <row r="144" spans="1:28" s="31" customFormat="1">
      <c r="A144" s="16"/>
      <c r="AB144" s="16"/>
    </row>
    <row r="145" spans="1:28" s="31" customFormat="1">
      <c r="A145" s="16"/>
      <c r="AB145" s="16"/>
    </row>
    <row r="146" spans="1:28" s="31" customFormat="1">
      <c r="A146" s="16"/>
      <c r="AB146" s="16"/>
    </row>
    <row r="147" spans="1:28" s="31" customFormat="1">
      <c r="A147" s="16"/>
      <c r="AB147" s="16"/>
    </row>
    <row r="148" spans="1:28" s="31" customFormat="1">
      <c r="A148" s="16"/>
      <c r="AB148" s="16"/>
    </row>
    <row r="149" spans="1:28" s="31" customFormat="1">
      <c r="A149" s="16"/>
      <c r="AB149" s="16"/>
    </row>
    <row r="150" spans="1:28" s="31" customFormat="1">
      <c r="A150" s="16"/>
      <c r="AB150" s="16"/>
    </row>
    <row r="151" spans="1:28" s="31" customFormat="1">
      <c r="AB151" s="16"/>
    </row>
    <row r="152" spans="1:28" s="31" customFormat="1">
      <c r="AB152" s="16"/>
    </row>
    <row r="153" spans="1:28" s="31" customFormat="1">
      <c r="AB153" s="16"/>
    </row>
    <row r="154" spans="1:28" s="31" customFormat="1">
      <c r="AB154" s="16"/>
    </row>
    <row r="155" spans="1:28" s="31" customFormat="1">
      <c r="AB155" s="16"/>
    </row>
    <row r="156" spans="1:28" s="31" customFormat="1">
      <c r="AB156" s="16"/>
    </row>
    <row r="157" spans="1:28" s="31" customFormat="1">
      <c r="AB157" s="16"/>
    </row>
    <row r="158" spans="1:28" s="31" customFormat="1">
      <c r="AB158" s="16"/>
    </row>
    <row r="159" spans="1:28" s="31" customFormat="1">
      <c r="AB159" s="16"/>
    </row>
    <row r="160" spans="1:28" s="31" customFormat="1">
      <c r="AB160" s="16"/>
    </row>
    <row r="161" spans="28:28" s="31" customFormat="1">
      <c r="AB161" s="16"/>
    </row>
    <row r="162" spans="28:28" s="31" customFormat="1">
      <c r="AB162" s="16"/>
    </row>
    <row r="163" spans="28:28" s="31" customFormat="1">
      <c r="AB163" s="16"/>
    </row>
    <row r="164" spans="28:28" s="31" customFormat="1">
      <c r="AB164" s="16"/>
    </row>
    <row r="165" spans="28:28" s="31" customFormat="1">
      <c r="AB165" s="16"/>
    </row>
    <row r="166" spans="28:28" s="31" customFormat="1">
      <c r="AB166" s="16"/>
    </row>
    <row r="167" spans="28:28" s="31" customFormat="1">
      <c r="AB167" s="16"/>
    </row>
    <row r="168" spans="28:28" s="31" customFormat="1">
      <c r="AB168" s="16"/>
    </row>
    <row r="169" spans="28:28" s="31" customFormat="1">
      <c r="AB169" s="16"/>
    </row>
    <row r="170" spans="28:28" s="31" customFormat="1">
      <c r="AB170" s="16"/>
    </row>
    <row r="171" spans="28:28" s="31" customFormat="1">
      <c r="AB171" s="16"/>
    </row>
    <row r="172" spans="28:28" s="31" customFormat="1">
      <c r="AB172" s="16"/>
    </row>
    <row r="173" spans="28:28" s="31" customFormat="1">
      <c r="AB173" s="16"/>
    </row>
    <row r="174" spans="28:28" s="31" customFormat="1">
      <c r="AB174" s="16"/>
    </row>
    <row r="175" spans="28:28" s="31" customFormat="1">
      <c r="AB175" s="16"/>
    </row>
    <row r="176" spans="28:28" s="31" customFormat="1">
      <c r="AB176" s="16"/>
    </row>
    <row r="177" spans="28:28" s="31" customFormat="1">
      <c r="AB177" s="16"/>
    </row>
    <row r="178" spans="28:28" s="31" customFormat="1">
      <c r="AB178" s="16"/>
    </row>
    <row r="179" spans="28:28" s="31" customFormat="1">
      <c r="AB179" s="16"/>
    </row>
    <row r="180" spans="28:28" s="31" customFormat="1">
      <c r="AB180" s="16"/>
    </row>
    <row r="181" spans="28:28" s="31" customFormat="1">
      <c r="AB181" s="16"/>
    </row>
    <row r="182" spans="28:28" s="31" customFormat="1">
      <c r="AB182" s="16"/>
    </row>
    <row r="183" spans="28:28" s="31" customFormat="1">
      <c r="AB183" s="16"/>
    </row>
    <row r="184" spans="28:28" s="31" customFormat="1">
      <c r="AB184" s="16"/>
    </row>
    <row r="185" spans="28:28" s="31" customFormat="1">
      <c r="AB185" s="16"/>
    </row>
    <row r="186" spans="28:28" s="31" customFormat="1">
      <c r="AB186" s="16"/>
    </row>
    <row r="187" spans="28:28" s="31" customFormat="1">
      <c r="AB187" s="16"/>
    </row>
    <row r="188" spans="28:28" s="31" customFormat="1">
      <c r="AB188" s="16"/>
    </row>
    <row r="189" spans="28:28" s="31" customFormat="1">
      <c r="AB189" s="16"/>
    </row>
    <row r="190" spans="28:28" s="31" customFormat="1">
      <c r="AB190" s="16"/>
    </row>
    <row r="191" spans="28:28" s="31" customFormat="1">
      <c r="AB191" s="16"/>
    </row>
    <row r="192" spans="28:28" s="31" customFormat="1">
      <c r="AB192" s="16"/>
    </row>
    <row r="193" spans="28:28" s="31" customFormat="1">
      <c r="AB193" s="16"/>
    </row>
    <row r="194" spans="28:28" s="31" customFormat="1">
      <c r="AB194" s="16"/>
    </row>
    <row r="195" spans="28:28" s="31" customFormat="1">
      <c r="AB195" s="16"/>
    </row>
    <row r="196" spans="28:28" s="31" customFormat="1">
      <c r="AB196" s="16"/>
    </row>
    <row r="197" spans="28:28" s="31" customFormat="1">
      <c r="AB197" s="16"/>
    </row>
    <row r="198" spans="28:28" s="31" customFormat="1">
      <c r="AB198" s="16"/>
    </row>
    <row r="199" spans="28:28" s="31" customFormat="1">
      <c r="AB199" s="16"/>
    </row>
    <row r="200" spans="28:28" s="31" customFormat="1">
      <c r="AB200" s="16"/>
    </row>
    <row r="201" spans="28:28" s="31" customFormat="1">
      <c r="AB201" s="16"/>
    </row>
    <row r="202" spans="28:28" s="31" customFormat="1">
      <c r="AB202" s="16"/>
    </row>
    <row r="203" spans="28:28" s="31" customFormat="1">
      <c r="AB203" s="16"/>
    </row>
    <row r="204" spans="28:28" s="31" customFormat="1">
      <c r="AB204" s="16"/>
    </row>
    <row r="205" spans="28:28" s="31" customFormat="1">
      <c r="AB205" s="16"/>
    </row>
    <row r="206" spans="28:28" s="31" customFormat="1">
      <c r="AB206" s="16"/>
    </row>
    <row r="207" spans="28:28" s="31" customFormat="1">
      <c r="AB207" s="16"/>
    </row>
  </sheetData>
  <sheetProtection selectLockedCells="1"/>
  <mergeCells count="6">
    <mergeCell ref="G16:H16"/>
    <mergeCell ref="G18:H18"/>
    <mergeCell ref="B2:E2"/>
    <mergeCell ref="B4:E4"/>
    <mergeCell ref="G12:H12"/>
    <mergeCell ref="G14:H14"/>
  </mergeCells>
  <phoneticPr fontId="0" type="noConversion"/>
  <dataValidations count="7">
    <dataValidation type="list" allowBlank="1" showInputMessage="1" showErrorMessage="1" sqref="F19">
      <formula1>lstSorten</formula1>
    </dataValidation>
    <dataValidation type="whole" operator="greaterThanOrEqual" allowBlank="1" showErrorMessage="1" error="nur Ganzahl &gt;= 0" sqref="B12:C12 B14:C14 C26 B16:C16 B18:C19">
      <formula1>0</formula1>
    </dataValidation>
    <dataValidation type="decimal" operator="greaterThanOrEqual" allowBlank="1" showErrorMessage="1" error="Dezimalzahl &gt;= 0" sqref="D14 D12 E19 D16 D18:D19">
      <formula1>0</formula1>
    </dataValidation>
    <dataValidation type="list" allowBlank="1" showInputMessage="1" showErrorMessage="1" promptTitle="Bindeart" prompt="= 0 Klebebindung_x000a_&gt; 0 Fadenheften" sqref="C22:C23">
      <formula1>"0,8,16,32"</formula1>
    </dataValidation>
    <dataValidation operator="greaterThanOrEqual" allowBlank="1" showErrorMessage="1" error="Dezimalzahl &gt;= 0" sqref="E14 E12 E16 E18"/>
    <dataValidation type="list" allowBlank="1" showInputMessage="1" showErrorMessage="1" sqref="B34">
      <formula1>"rund,gerade"</formula1>
    </dataValidation>
    <dataValidation type="list" allowBlank="1" showInputMessage="1" showErrorMessage="1" sqref="F12 F14 F16 F18">
      <formula1>MatListKomp</formula1>
    </dataValidation>
  </dataValidations>
  <hyperlinks>
    <hyperlink ref="B6" r:id="rId1" display="http://www.cpi-print.de/services/ruckenbreitenberechnung-und-datenanlieferung/"/>
  </hyperlinks>
  <pageMargins left="0.21" right="0.2" top="0.984251969" bottom="0.984251969" header="0.4921259845" footer="0.4921259845"/>
  <pageSetup paperSize="8" orientation="landscape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Sprache!$B$3:$G$3</xm:f>
          </x14:formula1>
          <xm:sqref>G2</xm:sqref>
        </x14:dataValidation>
      </x14:dataValidations>
    </ext>
    <ext xmlns:mx="http://schemas.microsoft.com/office/mac/excel/2008/main" uri="{64002731-A6B0-56B0-2670-7721B7C09600}">
      <mx:PLV Mode="1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topLeftCell="A7" workbookViewId="0">
      <selection activeCell="E2" sqref="E2:G2"/>
    </sheetView>
  </sheetViews>
  <sheetFormatPr baseColWidth="10" defaultColWidth="10.83203125" defaultRowHeight="13" x14ac:dyDescent="0"/>
  <cols>
    <col min="1" max="2" width="7.6640625" style="6" customWidth="1"/>
    <col min="3" max="3" width="2.6640625" style="6" customWidth="1"/>
    <col min="4" max="5" width="7.6640625" style="6" customWidth="1"/>
    <col min="6" max="6" width="2.6640625" style="6" customWidth="1"/>
    <col min="7" max="8" width="7.6640625" style="6" customWidth="1"/>
    <col min="9" max="9" width="2.6640625" style="6" customWidth="1"/>
    <col min="10" max="11" width="7.6640625" style="6" customWidth="1"/>
    <col min="12" max="12" width="2.6640625" style="6" customWidth="1"/>
    <col min="13" max="14" width="7.6640625" style="6" customWidth="1"/>
    <col min="15" max="15" width="7.6640625" style="6" hidden="1" customWidth="1"/>
    <col min="16" max="20" width="11.5" style="16" hidden="1" customWidth="1"/>
    <col min="21" max="26" width="11.5" style="6" hidden="1" customWidth="1"/>
    <col min="27" max="16384" width="10.83203125" style="6"/>
  </cols>
  <sheetData>
    <row r="1" spans="1:20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P1" s="6"/>
      <c r="Q1" s="6"/>
      <c r="R1" s="6"/>
      <c r="S1" s="6"/>
      <c r="T1" s="6"/>
    </row>
    <row r="2" spans="1:20" ht="19.5" customHeight="1">
      <c r="A2" s="109" t="str">
        <f ca="1">CONCATENATE(txtSchrittweite_in_Seiten,":")</f>
        <v>Schrittweite_in_Seiten:</v>
      </c>
      <c r="B2" s="109"/>
      <c r="C2" s="100"/>
      <c r="D2" s="100"/>
      <c r="E2" s="165" t="s">
        <v>69</v>
      </c>
      <c r="F2" s="166"/>
      <c r="G2" s="166"/>
      <c r="H2" s="100"/>
      <c r="I2" s="100"/>
      <c r="J2" s="100"/>
      <c r="K2" s="100"/>
      <c r="L2" s="100"/>
      <c r="M2" s="100"/>
      <c r="N2" s="100"/>
      <c r="P2" s="6">
        <f>IF(E2="16 (Standard)",16,IF(E2="12 (Quantum)",12,8))</f>
        <v>16</v>
      </c>
      <c r="R2" s="6"/>
      <c r="S2" s="6"/>
      <c r="T2" s="6"/>
    </row>
    <row r="3" spans="1:20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P3" s="6"/>
      <c r="Q3" s="6"/>
      <c r="R3" s="6"/>
      <c r="S3" s="6"/>
      <c r="T3" s="6"/>
    </row>
    <row r="4" spans="1:20" s="8" customFormat="1" ht="24" customHeight="1">
      <c r="A4" s="116" t="str">
        <f ca="1">CONCATENATE(txtText,":")</f>
        <v>Text:</v>
      </c>
      <c r="C4" s="27" t="str">
        <f>strPapier</f>
        <v xml:space="preserve"> g/m²  fach</v>
      </c>
      <c r="D4" s="23"/>
      <c r="E4" s="23"/>
      <c r="F4" s="23"/>
      <c r="G4" s="23"/>
      <c r="H4" s="23"/>
      <c r="I4" s="23"/>
      <c r="J4" s="23"/>
      <c r="K4" s="23"/>
      <c r="P4" s="16" t="s">
        <v>70</v>
      </c>
      <c r="Q4" s="16" t="e">
        <f>Eingabe!P12/Eingabe!B12</f>
        <v>#DIV/0!</v>
      </c>
      <c r="R4" s="16"/>
      <c r="S4" s="16" t="s">
        <v>71</v>
      </c>
      <c r="T4" s="16" t="e">
        <f>Q4*2</f>
        <v>#DIV/0!</v>
      </c>
    </row>
    <row r="5" spans="1:20" s="8" customFormat="1" ht="24" customHeight="1">
      <c r="A5" s="116" t="str">
        <f ca="1">CONCATENATE(txtVorsatz,":")</f>
        <v>Vorsatz:</v>
      </c>
      <c r="C5" s="24" t="str">
        <f>strVorsatz</f>
        <v xml:space="preserve"> g/m²  fach</v>
      </c>
      <c r="D5" s="23"/>
      <c r="E5" s="23"/>
      <c r="F5" s="23"/>
      <c r="G5" s="23"/>
      <c r="H5" s="23"/>
      <c r="I5" s="23"/>
      <c r="J5" s="23"/>
      <c r="K5" s="23"/>
      <c r="P5" s="15" t="s">
        <v>72</v>
      </c>
      <c r="Q5" s="14">
        <v>0.5</v>
      </c>
      <c r="R5" s="17"/>
      <c r="S5" s="17"/>
      <c r="T5" s="17"/>
    </row>
    <row r="6" spans="1:20" s="8" customFormat="1" ht="24" customHeight="1">
      <c r="A6" s="116" t="str">
        <f ca="1">CONCATENATE(txtPappe,":")</f>
        <v>Pappe:</v>
      </c>
      <c r="C6" s="24" t="str">
        <f>strPappe</f>
        <v>1,5 mm</v>
      </c>
      <c r="D6" s="23"/>
      <c r="E6" s="23"/>
      <c r="F6" s="23"/>
      <c r="G6" s="116" t="s">
        <v>73</v>
      </c>
      <c r="H6" s="22" t="str">
        <f ca="1">txtrund</f>
        <v>rund</v>
      </c>
      <c r="P6" s="17"/>
      <c r="Q6" s="17"/>
      <c r="R6" s="17"/>
      <c r="S6" s="17"/>
      <c r="T6" s="17"/>
    </row>
    <row r="7" spans="1:20" ht="25.5" customHeight="1">
      <c r="A7" s="116"/>
    </row>
    <row r="8" spans="1:20" ht="14" customHeight="1">
      <c r="A8" s="19" t="str">
        <f ca="1">txtSeiten</f>
        <v>Seiten</v>
      </c>
      <c r="B8" s="20" t="str">
        <f ca="1">txtRücken</f>
        <v>Rücken</v>
      </c>
      <c r="C8" s="21"/>
      <c r="D8" s="19" t="str">
        <f ca="1">A8</f>
        <v>Seiten</v>
      </c>
      <c r="E8" s="20" t="str">
        <f ca="1">B8</f>
        <v>Rücken</v>
      </c>
      <c r="F8" s="21"/>
      <c r="G8" s="19" t="str">
        <f ca="1">A8</f>
        <v>Seiten</v>
      </c>
      <c r="H8" s="20" t="str">
        <f ca="1">B8</f>
        <v>Rücken</v>
      </c>
      <c r="I8" s="21"/>
      <c r="J8" s="19" t="str">
        <f ca="1">A8</f>
        <v>Seiten</v>
      </c>
      <c r="K8" s="20" t="str">
        <f ca="1">B8</f>
        <v>Rücken</v>
      </c>
      <c r="L8" s="21"/>
      <c r="M8" s="19" t="str">
        <f ca="1">A8</f>
        <v>Seiten</v>
      </c>
      <c r="N8" s="20" t="str">
        <f ca="1">B8</f>
        <v>Rücken</v>
      </c>
    </row>
    <row r="9" spans="1:20" ht="14" customHeight="1">
      <c r="A9" s="11">
        <f>P2</f>
        <v>16</v>
      </c>
      <c r="B9" s="12" t="e">
        <f>ROUND((((0.68-(0.000015*POWER(A9*$Q$4,2)-0.0022))*(2*Pappe+Eingabe!$P$18+A9*$Q$4)-0.5)*102*PI()/180)/$Q$5,0)*$Q$5</f>
        <v>#DIV/0!</v>
      </c>
      <c r="D9" s="11">
        <f>A53+$P$2</f>
        <v>736</v>
      </c>
      <c r="E9" s="12" t="e">
        <f>ROUND((((0.68-(0.000015*POWER(D9*$Q$4,2)-0.0022))*(2*Pappe+Eingabe!$P$18+D9*$Q$4)-0.5)*102*PI()/180)/$Q$5,0)*$Q$5</f>
        <v>#DIV/0!</v>
      </c>
      <c r="G9" s="11">
        <f>D53+$P$2</f>
        <v>1456</v>
      </c>
      <c r="H9" s="12" t="e">
        <f>ROUND((((0.68-(0.000015*POWER(G9*$Q$4,2)-0.0022))*(2*Pappe+Eingabe!$P$18+G9*$Q$4)-0.5)*102*PI()/180)/$Q$5,0)*$Q$5</f>
        <v>#DIV/0!</v>
      </c>
      <c r="J9" s="11">
        <f>G53+$P$2</f>
        <v>2176</v>
      </c>
      <c r="K9" s="12" t="e">
        <f>ROUND((((0.68-(0.000015*POWER(J9*$Q$4,2)-0.0022))*(2*Pappe+Eingabe!$P$18+J9*$Q$4)-0.5)*102*PI()/180)/$Q$5,0)*$Q$5</f>
        <v>#DIV/0!</v>
      </c>
      <c r="M9" s="11">
        <f>J53+$P$2</f>
        <v>2896</v>
      </c>
      <c r="N9" s="12" t="e">
        <f>ROUND((((0.68-(0.000015*POWER(M9*$Q$4,2)-0.0022))*(2*Pappe+Eingabe!$P$18+M9*$Q$4)-0.5)*102*PI()/180)/$Q$5,0)*$Q$5</f>
        <v>#DIV/0!</v>
      </c>
    </row>
    <row r="10" spans="1:20" ht="14" customHeight="1">
      <c r="A10" s="11">
        <f>A9+$P$2</f>
        <v>32</v>
      </c>
      <c r="B10" s="12" t="e">
        <f>ROUND((((0.68-(0.000015*POWER(A10*$Q$4,2)-0.0022))*(2*Pappe+Eingabe!$P$18+A10*$Q$4)-0.5)*102*PI()/180)/$Q$5,0)*$Q$5</f>
        <v>#DIV/0!</v>
      </c>
      <c r="D10" s="11">
        <f>D9+$P$2</f>
        <v>752</v>
      </c>
      <c r="E10" s="12" t="e">
        <f>ROUND((((0.68-(0.000015*POWER(D10*$Q$4,2)-0.0022))*(2*Pappe+Eingabe!$P$18+D10*$Q$4)-0.5)*102*PI()/180)/$Q$5,0)*$Q$5</f>
        <v>#DIV/0!</v>
      </c>
      <c r="G10" s="11">
        <f>G9+$P$2</f>
        <v>1472</v>
      </c>
      <c r="H10" s="12" t="e">
        <f>ROUND((((0.68-(0.000015*POWER(G10*$Q$4,2)-0.0022))*(2*Pappe+Eingabe!$P$18+G10*$Q$4)-0.5)*102*PI()/180)/$Q$5,0)*$Q$5</f>
        <v>#DIV/0!</v>
      </c>
      <c r="J10" s="11">
        <f>J9+$P$2</f>
        <v>2192</v>
      </c>
      <c r="K10" s="12" t="e">
        <f>ROUND((((0.68-(0.000015*POWER(J10*$Q$4,2)-0.0022))*(2*Pappe+Eingabe!$P$18+J10*$Q$4)-0.5)*102*PI()/180)/$Q$5,0)*$Q$5</f>
        <v>#DIV/0!</v>
      </c>
      <c r="M10" s="11">
        <f>M9+$P$2</f>
        <v>2912</v>
      </c>
      <c r="N10" s="12" t="e">
        <f>ROUND((((0.68-(0.000015*POWER(M10*$Q$4,2)-0.0022))*(2*Pappe+Eingabe!$P$18+M10*$Q$4)-0.5)*102*PI()/180)/$Q$5,0)*$Q$5</f>
        <v>#DIV/0!</v>
      </c>
    </row>
    <row r="11" spans="1:20" ht="14" customHeight="1">
      <c r="A11" s="11">
        <f t="shared" ref="A11:A53" si="0">A10+$P$2</f>
        <v>48</v>
      </c>
      <c r="B11" s="12" t="e">
        <f>ROUND((((0.68-(0.000015*POWER(A11*$Q$4,2)-0.0022))*(2*Pappe+Eingabe!$P$18+A11*$Q$4)-0.5)*102*PI()/180)/$Q$5,0)*$Q$5</f>
        <v>#DIV/0!</v>
      </c>
      <c r="D11" s="11">
        <f t="shared" ref="D11:D53" si="1">D10+$P$2</f>
        <v>768</v>
      </c>
      <c r="E11" s="12" t="e">
        <f>ROUND((((0.68-(0.000015*POWER(D11*$Q$4,2)-0.0022))*(2*Pappe+Eingabe!$P$18+D11*$Q$4)-0.5)*102*PI()/180)/$Q$5,0)*$Q$5</f>
        <v>#DIV/0!</v>
      </c>
      <c r="G11" s="11">
        <f t="shared" ref="G11:G53" si="2">G10+$P$2</f>
        <v>1488</v>
      </c>
      <c r="H11" s="12" t="e">
        <f>ROUND((((0.68-(0.000015*POWER(G11*$Q$4,2)-0.0022))*(2*Pappe+Eingabe!$P$18+G11*$Q$4)-0.5)*102*PI()/180)/$Q$5,0)*$Q$5</f>
        <v>#DIV/0!</v>
      </c>
      <c r="J11" s="11">
        <f t="shared" ref="J11:J53" si="3">J10+$P$2</f>
        <v>2208</v>
      </c>
      <c r="K11" s="12" t="e">
        <f>ROUND((((0.68-(0.000015*POWER(J11*$Q$4,2)-0.0022))*(2*Pappe+Eingabe!$P$18+J11*$Q$4)-0.5)*102*PI()/180)/$Q$5,0)*$Q$5</f>
        <v>#DIV/0!</v>
      </c>
      <c r="M11" s="11">
        <f t="shared" ref="M11:M53" si="4">M10+$P$2</f>
        <v>2928</v>
      </c>
      <c r="N11" s="12" t="e">
        <f>ROUND((((0.68-(0.000015*POWER(M11*$Q$4,2)-0.0022))*(2*Pappe+Eingabe!$P$18+M11*$Q$4)-0.5)*102*PI()/180)/$Q$5,0)*$Q$5</f>
        <v>#DIV/0!</v>
      </c>
    </row>
    <row r="12" spans="1:20" ht="14" customHeight="1">
      <c r="A12" s="11">
        <f t="shared" si="0"/>
        <v>64</v>
      </c>
      <c r="B12" s="12" t="e">
        <f>ROUND((((0.68-(0.000015*POWER(A12*$Q$4,2)-0.0022))*(2*Pappe+Eingabe!$P$18+A12*$Q$4)-0.5)*102*PI()/180)/$Q$5,0)*$Q$5</f>
        <v>#DIV/0!</v>
      </c>
      <c r="D12" s="11">
        <f t="shared" si="1"/>
        <v>784</v>
      </c>
      <c r="E12" s="12" t="e">
        <f>ROUND((((0.68-(0.000015*POWER(D12*$Q$4,2)-0.0022))*(2*Pappe+Eingabe!$P$18+D12*$Q$4)-0.5)*102*PI()/180)/$Q$5,0)*$Q$5</f>
        <v>#DIV/0!</v>
      </c>
      <c r="G12" s="11">
        <f t="shared" si="2"/>
        <v>1504</v>
      </c>
      <c r="H12" s="12" t="e">
        <f>ROUND((((0.68-(0.000015*POWER(G12*$Q$4,2)-0.0022))*(2*Pappe+Eingabe!$P$18+G12*$Q$4)-0.5)*102*PI()/180)/$Q$5,0)*$Q$5</f>
        <v>#DIV/0!</v>
      </c>
      <c r="J12" s="11">
        <f t="shared" si="3"/>
        <v>2224</v>
      </c>
      <c r="K12" s="12" t="e">
        <f>ROUND((((0.68-(0.000015*POWER(J12*$Q$4,2)-0.0022))*(2*Pappe+Eingabe!$P$18+J12*$Q$4)-0.5)*102*PI()/180)/$Q$5,0)*$Q$5</f>
        <v>#DIV/0!</v>
      </c>
      <c r="M12" s="11">
        <f t="shared" si="4"/>
        <v>2944</v>
      </c>
      <c r="N12" s="12" t="e">
        <f>ROUND((((0.68-(0.000015*POWER(M12*$Q$4,2)-0.0022))*(2*Pappe+Eingabe!$P$18+M12*$Q$4)-0.5)*102*PI()/180)/$Q$5,0)*$Q$5</f>
        <v>#DIV/0!</v>
      </c>
    </row>
    <row r="13" spans="1:20" ht="14" customHeight="1">
      <c r="A13" s="11">
        <f t="shared" si="0"/>
        <v>80</v>
      </c>
      <c r="B13" s="12" t="e">
        <f>ROUND((((0.68-(0.000015*POWER(A13*$Q$4,2)-0.0022))*(2*Pappe+Eingabe!$P$18+A13*$Q$4)-0.5)*102*PI()/180)/$Q$5,0)*$Q$5</f>
        <v>#DIV/0!</v>
      </c>
      <c r="D13" s="11">
        <f t="shared" si="1"/>
        <v>800</v>
      </c>
      <c r="E13" s="12" t="e">
        <f>ROUND((((0.68-(0.000015*POWER(D13*$Q$4,2)-0.0022))*(2*Pappe+Eingabe!$P$18+D13*$Q$4)-0.5)*102*PI()/180)/$Q$5,0)*$Q$5</f>
        <v>#DIV/0!</v>
      </c>
      <c r="G13" s="11">
        <f t="shared" si="2"/>
        <v>1520</v>
      </c>
      <c r="H13" s="12" t="e">
        <f>ROUND((((0.68-(0.000015*POWER(G13*$Q$4,2)-0.0022))*(2*Pappe+Eingabe!$P$18+G13*$Q$4)-0.5)*102*PI()/180)/$Q$5,0)*$Q$5</f>
        <v>#DIV/0!</v>
      </c>
      <c r="J13" s="11">
        <f t="shared" si="3"/>
        <v>2240</v>
      </c>
      <c r="K13" s="12" t="e">
        <f>ROUND((((0.68-(0.000015*POWER(J13*$Q$4,2)-0.0022))*(2*Pappe+Eingabe!$P$18+J13*$Q$4)-0.5)*102*PI()/180)/$Q$5,0)*$Q$5</f>
        <v>#DIV/0!</v>
      </c>
      <c r="M13" s="11">
        <f t="shared" si="4"/>
        <v>2960</v>
      </c>
      <c r="N13" s="12" t="e">
        <f>ROUND((((0.68-(0.000015*POWER(M13*$Q$4,2)-0.0022))*(2*Pappe+Eingabe!$P$18+M13*$Q$4)-0.5)*102*PI()/180)/$Q$5,0)*$Q$5</f>
        <v>#DIV/0!</v>
      </c>
    </row>
    <row r="14" spans="1:20" ht="14" customHeight="1">
      <c r="A14" s="11">
        <f t="shared" si="0"/>
        <v>96</v>
      </c>
      <c r="B14" s="12" t="e">
        <f>ROUND((((0.68-(0.000015*POWER(A14*$Q$4,2)-0.0022))*(2*Pappe+Eingabe!$P$18+A14*$Q$4)-0.5)*102*PI()/180)/$Q$5,0)*$Q$5</f>
        <v>#DIV/0!</v>
      </c>
      <c r="D14" s="11">
        <f t="shared" si="1"/>
        <v>816</v>
      </c>
      <c r="E14" s="12" t="e">
        <f>ROUND((((0.68-(0.000015*POWER(D14*$Q$4,2)-0.0022))*(2*Pappe+Eingabe!$P$18+D14*$Q$4)-0.5)*102*PI()/180)/$Q$5,0)*$Q$5</f>
        <v>#DIV/0!</v>
      </c>
      <c r="G14" s="11">
        <f t="shared" si="2"/>
        <v>1536</v>
      </c>
      <c r="H14" s="12" t="e">
        <f>ROUND((((0.68-(0.000015*POWER(G14*$Q$4,2)-0.0022))*(2*Pappe+Eingabe!$P$18+G14*$Q$4)-0.5)*102*PI()/180)/$Q$5,0)*$Q$5</f>
        <v>#DIV/0!</v>
      </c>
      <c r="J14" s="11">
        <f t="shared" si="3"/>
        <v>2256</v>
      </c>
      <c r="K14" s="12" t="e">
        <f>ROUND((((0.68-(0.000015*POWER(J14*$Q$4,2)-0.0022))*(2*Pappe+Eingabe!$P$18+J14*$Q$4)-0.5)*102*PI()/180)/$Q$5,0)*$Q$5</f>
        <v>#DIV/0!</v>
      </c>
      <c r="M14" s="11">
        <f t="shared" si="4"/>
        <v>2976</v>
      </c>
      <c r="N14" s="12" t="e">
        <f>ROUND((((0.68-(0.000015*POWER(M14*$Q$4,2)-0.0022))*(2*Pappe+Eingabe!$P$18+M14*$Q$4)-0.5)*102*PI()/180)/$Q$5,0)*$Q$5</f>
        <v>#DIV/0!</v>
      </c>
    </row>
    <row r="15" spans="1:20" ht="14" customHeight="1">
      <c r="A15" s="11">
        <f t="shared" si="0"/>
        <v>112</v>
      </c>
      <c r="B15" s="12" t="e">
        <f>ROUND((((0.68-(0.000015*POWER(A15*$Q$4,2)-0.0022))*(2*Pappe+Eingabe!$P$18+A15*$Q$4)-0.5)*102*PI()/180)/$Q$5,0)*$Q$5</f>
        <v>#DIV/0!</v>
      </c>
      <c r="D15" s="11">
        <f t="shared" si="1"/>
        <v>832</v>
      </c>
      <c r="E15" s="12" t="e">
        <f>ROUND((((0.68-(0.000015*POWER(D15*$Q$4,2)-0.0022))*(2*Pappe+Eingabe!$P$18+D15*$Q$4)-0.5)*102*PI()/180)/$Q$5,0)*$Q$5</f>
        <v>#DIV/0!</v>
      </c>
      <c r="G15" s="11">
        <f t="shared" si="2"/>
        <v>1552</v>
      </c>
      <c r="H15" s="12" t="e">
        <f>ROUND((((0.68-(0.000015*POWER(G15*$Q$4,2)-0.0022))*(2*Pappe+Eingabe!$P$18+G15*$Q$4)-0.5)*102*PI()/180)/$Q$5,0)*$Q$5</f>
        <v>#DIV/0!</v>
      </c>
      <c r="J15" s="11">
        <f t="shared" si="3"/>
        <v>2272</v>
      </c>
      <c r="K15" s="12" t="e">
        <f>ROUND((((0.68-(0.000015*POWER(J15*$Q$4,2)-0.0022))*(2*Pappe+Eingabe!$P$18+J15*$Q$4)-0.5)*102*PI()/180)/$Q$5,0)*$Q$5</f>
        <v>#DIV/0!</v>
      </c>
      <c r="M15" s="11">
        <f t="shared" si="4"/>
        <v>2992</v>
      </c>
      <c r="N15" s="12" t="e">
        <f>ROUND((((0.68-(0.000015*POWER(M15*$Q$4,2)-0.0022))*(2*Pappe+Eingabe!$P$18+M15*$Q$4)-0.5)*102*PI()/180)/$Q$5,0)*$Q$5</f>
        <v>#DIV/0!</v>
      </c>
    </row>
    <row r="16" spans="1:20" ht="14" customHeight="1">
      <c r="A16" s="11">
        <f t="shared" si="0"/>
        <v>128</v>
      </c>
      <c r="B16" s="12" t="e">
        <f>ROUND((((0.68-(0.000015*POWER(A16*$Q$4,2)-0.0022))*(2*Pappe+Eingabe!$P$18+A16*$Q$4)-0.5)*102*PI()/180)/$Q$5,0)*$Q$5</f>
        <v>#DIV/0!</v>
      </c>
      <c r="D16" s="11">
        <f t="shared" si="1"/>
        <v>848</v>
      </c>
      <c r="E16" s="12" t="e">
        <f>ROUND((((0.68-(0.000015*POWER(D16*$Q$4,2)-0.0022))*(2*Pappe+Eingabe!$P$18+D16*$Q$4)-0.5)*102*PI()/180)/$Q$5,0)*$Q$5</f>
        <v>#DIV/0!</v>
      </c>
      <c r="G16" s="11">
        <f t="shared" si="2"/>
        <v>1568</v>
      </c>
      <c r="H16" s="12" t="e">
        <f>ROUND((((0.68-(0.000015*POWER(G16*$Q$4,2)-0.0022))*(2*Pappe+Eingabe!$P$18+G16*$Q$4)-0.5)*102*PI()/180)/$Q$5,0)*$Q$5</f>
        <v>#DIV/0!</v>
      </c>
      <c r="J16" s="11">
        <f t="shared" si="3"/>
        <v>2288</v>
      </c>
      <c r="K16" s="12" t="e">
        <f>ROUND((((0.68-(0.000015*POWER(J16*$Q$4,2)-0.0022))*(2*Pappe+Eingabe!$P$18+J16*$Q$4)-0.5)*102*PI()/180)/$Q$5,0)*$Q$5</f>
        <v>#DIV/0!</v>
      </c>
      <c r="M16" s="11">
        <f t="shared" si="4"/>
        <v>3008</v>
      </c>
      <c r="N16" s="12" t="e">
        <f>ROUND((((0.68-(0.000015*POWER(M16*$Q$4,2)-0.0022))*(2*Pappe+Eingabe!$P$18+M16*$Q$4)-0.5)*102*PI()/180)/$Q$5,0)*$Q$5</f>
        <v>#DIV/0!</v>
      </c>
    </row>
    <row r="17" spans="1:14" ht="14" customHeight="1">
      <c r="A17" s="11">
        <f t="shared" si="0"/>
        <v>144</v>
      </c>
      <c r="B17" s="12" t="e">
        <f>ROUND((((0.68-(0.000015*POWER(A17*$Q$4,2)-0.0022))*(2*Pappe+Eingabe!$P$18+A17*$Q$4)-0.5)*102*PI()/180)/$Q$5,0)*$Q$5</f>
        <v>#DIV/0!</v>
      </c>
      <c r="D17" s="11">
        <f t="shared" si="1"/>
        <v>864</v>
      </c>
      <c r="E17" s="12" t="e">
        <f>ROUND((((0.68-(0.000015*POWER(D17*$Q$4,2)-0.0022))*(2*Pappe+Eingabe!$P$18+D17*$Q$4)-0.5)*102*PI()/180)/$Q$5,0)*$Q$5</f>
        <v>#DIV/0!</v>
      </c>
      <c r="G17" s="11">
        <f t="shared" si="2"/>
        <v>1584</v>
      </c>
      <c r="H17" s="12" t="e">
        <f>ROUND((((0.68-(0.000015*POWER(G17*$Q$4,2)-0.0022))*(2*Pappe+Eingabe!$P$18+G17*$Q$4)-0.5)*102*PI()/180)/$Q$5,0)*$Q$5</f>
        <v>#DIV/0!</v>
      </c>
      <c r="J17" s="11">
        <f t="shared" si="3"/>
        <v>2304</v>
      </c>
      <c r="K17" s="12" t="e">
        <f>ROUND((((0.68-(0.000015*POWER(J17*$Q$4,2)-0.0022))*(2*Pappe+Eingabe!$P$18+J17*$Q$4)-0.5)*102*PI()/180)/$Q$5,0)*$Q$5</f>
        <v>#DIV/0!</v>
      </c>
      <c r="M17" s="11">
        <f t="shared" si="4"/>
        <v>3024</v>
      </c>
      <c r="N17" s="12" t="e">
        <f>ROUND((((0.68-(0.000015*POWER(M17*$Q$4,2)-0.0022))*(2*Pappe+Eingabe!$P$18+M17*$Q$4)-0.5)*102*PI()/180)/$Q$5,0)*$Q$5</f>
        <v>#DIV/0!</v>
      </c>
    </row>
    <row r="18" spans="1:14" ht="14" customHeight="1">
      <c r="A18" s="11">
        <f t="shared" si="0"/>
        <v>160</v>
      </c>
      <c r="B18" s="12" t="e">
        <f>ROUND((((0.68-(0.000015*POWER(A18*$Q$4,2)-0.0022))*(2*Pappe+Eingabe!$P$18+A18*$Q$4)-0.5)*102*PI()/180)/$Q$5,0)*$Q$5</f>
        <v>#DIV/0!</v>
      </c>
      <c r="D18" s="11">
        <f t="shared" si="1"/>
        <v>880</v>
      </c>
      <c r="E18" s="12" t="e">
        <f>ROUND((((0.68-(0.000015*POWER(D18*$Q$4,2)-0.0022))*(2*Pappe+Eingabe!$P$18+D18*$Q$4)-0.5)*102*PI()/180)/$Q$5,0)*$Q$5</f>
        <v>#DIV/0!</v>
      </c>
      <c r="G18" s="11">
        <f t="shared" si="2"/>
        <v>1600</v>
      </c>
      <c r="H18" s="12" t="e">
        <f>ROUND((((0.68-(0.000015*POWER(G18*$Q$4,2)-0.0022))*(2*Pappe+Eingabe!$P$18+G18*$Q$4)-0.5)*102*PI()/180)/$Q$5,0)*$Q$5</f>
        <v>#DIV/0!</v>
      </c>
      <c r="J18" s="11">
        <f t="shared" si="3"/>
        <v>2320</v>
      </c>
      <c r="K18" s="12" t="e">
        <f>ROUND((((0.68-(0.000015*POWER(J18*$Q$4,2)-0.0022))*(2*Pappe+Eingabe!$P$18+J18*$Q$4)-0.5)*102*PI()/180)/$Q$5,0)*$Q$5</f>
        <v>#DIV/0!</v>
      </c>
      <c r="M18" s="11">
        <f t="shared" si="4"/>
        <v>3040</v>
      </c>
      <c r="N18" s="12" t="e">
        <f>ROUND((((0.68-(0.000015*POWER(M18*$Q$4,2)-0.0022))*(2*Pappe+Eingabe!$P$18+M18*$Q$4)-0.5)*102*PI()/180)/$Q$5,0)*$Q$5</f>
        <v>#DIV/0!</v>
      </c>
    </row>
    <row r="19" spans="1:14" ht="14" customHeight="1">
      <c r="A19" s="11">
        <f t="shared" si="0"/>
        <v>176</v>
      </c>
      <c r="B19" s="12" t="e">
        <f>ROUND((((0.68-(0.000015*POWER(A19*$Q$4,2)-0.0022))*(2*Pappe+Eingabe!$P$18+A19*$Q$4)-0.5)*102*PI()/180)/$Q$5,0)*$Q$5</f>
        <v>#DIV/0!</v>
      </c>
      <c r="D19" s="11">
        <f t="shared" si="1"/>
        <v>896</v>
      </c>
      <c r="E19" s="12" t="e">
        <f>ROUND((((0.68-(0.000015*POWER(D19*$Q$4,2)-0.0022))*(2*Pappe+Eingabe!$P$18+D19*$Q$4)-0.5)*102*PI()/180)/$Q$5,0)*$Q$5</f>
        <v>#DIV/0!</v>
      </c>
      <c r="G19" s="11">
        <f t="shared" si="2"/>
        <v>1616</v>
      </c>
      <c r="H19" s="12" t="e">
        <f>ROUND((((0.68-(0.000015*POWER(G19*$Q$4,2)-0.0022))*(2*Pappe+Eingabe!$P$18+G19*$Q$4)-0.5)*102*PI()/180)/$Q$5,0)*$Q$5</f>
        <v>#DIV/0!</v>
      </c>
      <c r="J19" s="11">
        <f t="shared" si="3"/>
        <v>2336</v>
      </c>
      <c r="K19" s="12" t="e">
        <f>ROUND((((0.68-(0.000015*POWER(J19*$Q$4,2)-0.0022))*(2*Pappe+Eingabe!$P$18+J19*$Q$4)-0.5)*102*PI()/180)/$Q$5,0)*$Q$5</f>
        <v>#DIV/0!</v>
      </c>
      <c r="M19" s="11">
        <f t="shared" si="4"/>
        <v>3056</v>
      </c>
      <c r="N19" s="12" t="e">
        <f>ROUND((((0.68-(0.000015*POWER(M19*$Q$4,2)-0.0022))*(2*Pappe+Eingabe!$P$18+M19*$Q$4)-0.5)*102*PI()/180)/$Q$5,0)*$Q$5</f>
        <v>#DIV/0!</v>
      </c>
    </row>
    <row r="20" spans="1:14" ht="14" customHeight="1">
      <c r="A20" s="11">
        <f t="shared" si="0"/>
        <v>192</v>
      </c>
      <c r="B20" s="12" t="e">
        <f>ROUND((((0.68-(0.000015*POWER(A20*$Q$4,2)-0.0022))*(2*Pappe+Eingabe!$P$18+A20*$Q$4)-0.5)*102*PI()/180)/$Q$5,0)*$Q$5</f>
        <v>#DIV/0!</v>
      </c>
      <c r="D20" s="11">
        <f t="shared" si="1"/>
        <v>912</v>
      </c>
      <c r="E20" s="12" t="e">
        <f>ROUND((((0.68-(0.000015*POWER(D20*$Q$4,2)-0.0022))*(2*Pappe+Eingabe!$P$18+D20*$Q$4)-0.5)*102*PI()/180)/$Q$5,0)*$Q$5</f>
        <v>#DIV/0!</v>
      </c>
      <c r="G20" s="11">
        <f t="shared" si="2"/>
        <v>1632</v>
      </c>
      <c r="H20" s="12" t="e">
        <f>ROUND((((0.68-(0.000015*POWER(G20*$Q$4,2)-0.0022))*(2*Pappe+Eingabe!$P$18+G20*$Q$4)-0.5)*102*PI()/180)/$Q$5,0)*$Q$5</f>
        <v>#DIV/0!</v>
      </c>
      <c r="J20" s="11">
        <f t="shared" si="3"/>
        <v>2352</v>
      </c>
      <c r="K20" s="12" t="e">
        <f>ROUND((((0.68-(0.000015*POWER(J20*$Q$4,2)-0.0022))*(2*Pappe+Eingabe!$P$18+J20*$Q$4)-0.5)*102*PI()/180)/$Q$5,0)*$Q$5</f>
        <v>#DIV/0!</v>
      </c>
      <c r="M20" s="11">
        <f t="shared" si="4"/>
        <v>3072</v>
      </c>
      <c r="N20" s="12" t="e">
        <f>ROUND((((0.68-(0.000015*POWER(M20*$Q$4,2)-0.0022))*(2*Pappe+Eingabe!$P$18+M20*$Q$4)-0.5)*102*PI()/180)/$Q$5,0)*$Q$5</f>
        <v>#DIV/0!</v>
      </c>
    </row>
    <row r="21" spans="1:14" ht="14" customHeight="1">
      <c r="A21" s="11">
        <f t="shared" si="0"/>
        <v>208</v>
      </c>
      <c r="B21" s="12" t="e">
        <f>ROUND((((0.68-(0.000015*POWER(A21*$Q$4,2)-0.0022))*(2*Pappe+Eingabe!$P$18+A21*$Q$4)-0.5)*102*PI()/180)/$Q$5,0)*$Q$5</f>
        <v>#DIV/0!</v>
      </c>
      <c r="D21" s="11">
        <f t="shared" si="1"/>
        <v>928</v>
      </c>
      <c r="E21" s="12" t="e">
        <f>ROUND((((0.68-(0.000015*POWER(D21*$Q$4,2)-0.0022))*(2*Pappe+Eingabe!$P$18+D21*$Q$4)-0.5)*102*PI()/180)/$Q$5,0)*$Q$5</f>
        <v>#DIV/0!</v>
      </c>
      <c r="G21" s="11">
        <f t="shared" si="2"/>
        <v>1648</v>
      </c>
      <c r="H21" s="12" t="e">
        <f>ROUND((((0.68-(0.000015*POWER(G21*$Q$4,2)-0.0022))*(2*Pappe+Eingabe!$P$18+G21*$Q$4)-0.5)*102*PI()/180)/$Q$5,0)*$Q$5</f>
        <v>#DIV/0!</v>
      </c>
      <c r="J21" s="11">
        <f t="shared" si="3"/>
        <v>2368</v>
      </c>
      <c r="K21" s="12" t="e">
        <f>ROUND((((0.68-(0.000015*POWER(J21*$Q$4,2)-0.0022))*(2*Pappe+Eingabe!$P$18+J21*$Q$4)-0.5)*102*PI()/180)/$Q$5,0)*$Q$5</f>
        <v>#DIV/0!</v>
      </c>
      <c r="M21" s="11">
        <f t="shared" si="4"/>
        <v>3088</v>
      </c>
      <c r="N21" s="12" t="e">
        <f>ROUND((((0.68-(0.000015*POWER(M21*$Q$4,2)-0.0022))*(2*Pappe+Eingabe!$P$18+M21*$Q$4)-0.5)*102*PI()/180)/$Q$5,0)*$Q$5</f>
        <v>#DIV/0!</v>
      </c>
    </row>
    <row r="22" spans="1:14" ht="14" customHeight="1">
      <c r="A22" s="11">
        <f t="shared" si="0"/>
        <v>224</v>
      </c>
      <c r="B22" s="12" t="e">
        <f>ROUND((((0.68-(0.000015*POWER(A22*$Q$4,2)-0.0022))*(2*Pappe+Eingabe!$P$18+A22*$Q$4)-0.5)*102*PI()/180)/$Q$5,0)*$Q$5</f>
        <v>#DIV/0!</v>
      </c>
      <c r="D22" s="11">
        <f t="shared" si="1"/>
        <v>944</v>
      </c>
      <c r="E22" s="12" t="e">
        <f>ROUND((((0.68-(0.000015*POWER(D22*$Q$4,2)-0.0022))*(2*Pappe+Eingabe!$P$18+D22*$Q$4)-0.5)*102*PI()/180)/$Q$5,0)*$Q$5</f>
        <v>#DIV/0!</v>
      </c>
      <c r="G22" s="11">
        <f t="shared" si="2"/>
        <v>1664</v>
      </c>
      <c r="H22" s="12" t="e">
        <f>ROUND((((0.68-(0.000015*POWER(G22*$Q$4,2)-0.0022))*(2*Pappe+Eingabe!$P$18+G22*$Q$4)-0.5)*102*PI()/180)/$Q$5,0)*$Q$5</f>
        <v>#DIV/0!</v>
      </c>
      <c r="J22" s="11">
        <f t="shared" si="3"/>
        <v>2384</v>
      </c>
      <c r="K22" s="12" t="e">
        <f>ROUND((((0.68-(0.000015*POWER(J22*$Q$4,2)-0.0022))*(2*Pappe+Eingabe!$P$18+J22*$Q$4)-0.5)*102*PI()/180)/$Q$5,0)*$Q$5</f>
        <v>#DIV/0!</v>
      </c>
      <c r="M22" s="11">
        <f t="shared" si="4"/>
        <v>3104</v>
      </c>
      <c r="N22" s="12" t="e">
        <f>ROUND((((0.68-(0.000015*POWER(M22*$Q$4,2)-0.0022))*(2*Pappe+Eingabe!$P$18+M22*$Q$4)-0.5)*102*PI()/180)/$Q$5,0)*$Q$5</f>
        <v>#DIV/0!</v>
      </c>
    </row>
    <row r="23" spans="1:14" ht="14" customHeight="1">
      <c r="A23" s="11">
        <f t="shared" si="0"/>
        <v>240</v>
      </c>
      <c r="B23" s="12" t="e">
        <f>ROUND((((0.68-(0.000015*POWER(A23*$Q$4,2)-0.0022))*(2*Pappe+Eingabe!$P$18+A23*$Q$4)-0.5)*102*PI()/180)/$Q$5,0)*$Q$5</f>
        <v>#DIV/0!</v>
      </c>
      <c r="D23" s="11">
        <f t="shared" si="1"/>
        <v>960</v>
      </c>
      <c r="E23" s="12" t="e">
        <f>ROUND((((0.68-(0.000015*POWER(D23*$Q$4,2)-0.0022))*(2*Pappe+Eingabe!$P$18+D23*$Q$4)-0.5)*102*PI()/180)/$Q$5,0)*$Q$5</f>
        <v>#DIV/0!</v>
      </c>
      <c r="G23" s="11">
        <f t="shared" si="2"/>
        <v>1680</v>
      </c>
      <c r="H23" s="12" t="e">
        <f>ROUND((((0.68-(0.000015*POWER(G23*$Q$4,2)-0.0022))*(2*Pappe+Eingabe!$P$18+G23*$Q$4)-0.5)*102*PI()/180)/$Q$5,0)*$Q$5</f>
        <v>#DIV/0!</v>
      </c>
      <c r="J23" s="11">
        <f t="shared" si="3"/>
        <v>2400</v>
      </c>
      <c r="K23" s="12" t="e">
        <f>ROUND((((0.68-(0.000015*POWER(J23*$Q$4,2)-0.0022))*(2*Pappe+Eingabe!$P$18+J23*$Q$4)-0.5)*102*PI()/180)/$Q$5,0)*$Q$5</f>
        <v>#DIV/0!</v>
      </c>
      <c r="M23" s="11">
        <f t="shared" si="4"/>
        <v>3120</v>
      </c>
      <c r="N23" s="12" t="e">
        <f>ROUND((((0.68-(0.000015*POWER(M23*$Q$4,2)-0.0022))*(2*Pappe+Eingabe!$P$18+M23*$Q$4)-0.5)*102*PI()/180)/$Q$5,0)*$Q$5</f>
        <v>#DIV/0!</v>
      </c>
    </row>
    <row r="24" spans="1:14" ht="14" customHeight="1">
      <c r="A24" s="11">
        <f t="shared" si="0"/>
        <v>256</v>
      </c>
      <c r="B24" s="12" t="e">
        <f>ROUND((((0.68-(0.000015*POWER(A24*$Q$4,2)-0.0022))*(2*Pappe+Eingabe!$P$18+A24*$Q$4)-0.5)*102*PI()/180)/$Q$5,0)*$Q$5</f>
        <v>#DIV/0!</v>
      </c>
      <c r="D24" s="11">
        <f t="shared" si="1"/>
        <v>976</v>
      </c>
      <c r="E24" s="12" t="e">
        <f>ROUND((((0.68-(0.000015*POWER(D24*$Q$4,2)-0.0022))*(2*Pappe+Eingabe!$P$18+D24*$Q$4)-0.5)*102*PI()/180)/$Q$5,0)*$Q$5</f>
        <v>#DIV/0!</v>
      </c>
      <c r="G24" s="11">
        <f t="shared" si="2"/>
        <v>1696</v>
      </c>
      <c r="H24" s="12" t="e">
        <f>ROUND((((0.68-(0.000015*POWER(G24*$Q$4,2)-0.0022))*(2*Pappe+Eingabe!$P$18+G24*$Q$4)-0.5)*102*PI()/180)/$Q$5,0)*$Q$5</f>
        <v>#DIV/0!</v>
      </c>
      <c r="J24" s="11">
        <f t="shared" si="3"/>
        <v>2416</v>
      </c>
      <c r="K24" s="12" t="e">
        <f>ROUND((((0.68-(0.000015*POWER(J24*$Q$4,2)-0.0022))*(2*Pappe+Eingabe!$P$18+J24*$Q$4)-0.5)*102*PI()/180)/$Q$5,0)*$Q$5</f>
        <v>#DIV/0!</v>
      </c>
      <c r="M24" s="11">
        <f t="shared" si="4"/>
        <v>3136</v>
      </c>
      <c r="N24" s="12" t="e">
        <f>ROUND((((0.68-(0.000015*POWER(M24*$Q$4,2)-0.0022))*(2*Pappe+Eingabe!$P$18+M24*$Q$4)-0.5)*102*PI()/180)/$Q$5,0)*$Q$5</f>
        <v>#DIV/0!</v>
      </c>
    </row>
    <row r="25" spans="1:14" ht="14" customHeight="1">
      <c r="A25" s="11">
        <f t="shared" si="0"/>
        <v>272</v>
      </c>
      <c r="B25" s="12" t="e">
        <f>ROUND((((0.68-(0.000015*POWER(A25*$Q$4,2)-0.0022))*(2*Pappe+Eingabe!$P$18+A25*$Q$4)-0.5)*102*PI()/180)/$Q$5,0)*$Q$5</f>
        <v>#DIV/0!</v>
      </c>
      <c r="D25" s="11">
        <f t="shared" si="1"/>
        <v>992</v>
      </c>
      <c r="E25" s="12" t="e">
        <f>ROUND((((0.68-(0.000015*POWER(D25*$Q$4,2)-0.0022))*(2*Pappe+Eingabe!$P$18+D25*$Q$4)-0.5)*102*PI()/180)/$Q$5,0)*$Q$5</f>
        <v>#DIV/0!</v>
      </c>
      <c r="G25" s="11">
        <f t="shared" si="2"/>
        <v>1712</v>
      </c>
      <c r="H25" s="12" t="e">
        <f>ROUND((((0.68-(0.000015*POWER(G25*$Q$4,2)-0.0022))*(2*Pappe+Eingabe!$P$18+G25*$Q$4)-0.5)*102*PI()/180)/$Q$5,0)*$Q$5</f>
        <v>#DIV/0!</v>
      </c>
      <c r="J25" s="11">
        <f t="shared" si="3"/>
        <v>2432</v>
      </c>
      <c r="K25" s="12" t="e">
        <f>ROUND((((0.68-(0.000015*POWER(J25*$Q$4,2)-0.0022))*(2*Pappe+Eingabe!$P$18+J25*$Q$4)-0.5)*102*PI()/180)/$Q$5,0)*$Q$5</f>
        <v>#DIV/0!</v>
      </c>
      <c r="M25" s="11">
        <f t="shared" si="4"/>
        <v>3152</v>
      </c>
      <c r="N25" s="12" t="e">
        <f>ROUND((((0.68-(0.000015*POWER(M25*$Q$4,2)-0.0022))*(2*Pappe+Eingabe!$P$18+M25*$Q$4)-0.5)*102*PI()/180)/$Q$5,0)*$Q$5</f>
        <v>#DIV/0!</v>
      </c>
    </row>
    <row r="26" spans="1:14" ht="14" customHeight="1">
      <c r="A26" s="11">
        <f t="shared" si="0"/>
        <v>288</v>
      </c>
      <c r="B26" s="12" t="e">
        <f>ROUND((((0.68-(0.000015*POWER(A26*$Q$4,2)-0.0022))*(2*Pappe+Eingabe!$P$18+A26*$Q$4)-0.5)*102*PI()/180)/$Q$5,0)*$Q$5</f>
        <v>#DIV/0!</v>
      </c>
      <c r="D26" s="11">
        <f t="shared" si="1"/>
        <v>1008</v>
      </c>
      <c r="E26" s="12" t="e">
        <f>ROUND((((0.68-(0.000015*POWER(D26*$Q$4,2)-0.0022))*(2*Pappe+Eingabe!$P$18+D26*$Q$4)-0.5)*102*PI()/180)/$Q$5,0)*$Q$5</f>
        <v>#DIV/0!</v>
      </c>
      <c r="G26" s="11">
        <f t="shared" si="2"/>
        <v>1728</v>
      </c>
      <c r="H26" s="12" t="e">
        <f>ROUND((((0.68-(0.000015*POWER(G26*$Q$4,2)-0.0022))*(2*Pappe+Eingabe!$P$18+G26*$Q$4)-0.5)*102*PI()/180)/$Q$5,0)*$Q$5</f>
        <v>#DIV/0!</v>
      </c>
      <c r="J26" s="11">
        <f t="shared" si="3"/>
        <v>2448</v>
      </c>
      <c r="K26" s="12" t="e">
        <f>ROUND((((0.68-(0.000015*POWER(J26*$Q$4,2)-0.0022))*(2*Pappe+Eingabe!$P$18+J26*$Q$4)-0.5)*102*PI()/180)/$Q$5,0)*$Q$5</f>
        <v>#DIV/0!</v>
      </c>
      <c r="M26" s="11">
        <f t="shared" si="4"/>
        <v>3168</v>
      </c>
      <c r="N26" s="12" t="e">
        <f>ROUND((((0.68-(0.000015*POWER(M26*$Q$4,2)-0.0022))*(2*Pappe+Eingabe!$P$18+M26*$Q$4)-0.5)*102*PI()/180)/$Q$5,0)*$Q$5</f>
        <v>#DIV/0!</v>
      </c>
    </row>
    <row r="27" spans="1:14" ht="14" customHeight="1">
      <c r="A27" s="11">
        <f t="shared" si="0"/>
        <v>304</v>
      </c>
      <c r="B27" s="12" t="e">
        <f>ROUND((((0.68-(0.000015*POWER(A27*$Q$4,2)-0.0022))*(2*Pappe+Eingabe!$P$18+A27*$Q$4)-0.5)*102*PI()/180)/$Q$5,0)*$Q$5</f>
        <v>#DIV/0!</v>
      </c>
      <c r="D27" s="11">
        <f t="shared" si="1"/>
        <v>1024</v>
      </c>
      <c r="E27" s="12" t="e">
        <f>ROUND((((0.68-(0.000015*POWER(D27*$Q$4,2)-0.0022))*(2*Pappe+Eingabe!$P$18+D27*$Q$4)-0.5)*102*PI()/180)/$Q$5,0)*$Q$5</f>
        <v>#DIV/0!</v>
      </c>
      <c r="G27" s="11">
        <f t="shared" si="2"/>
        <v>1744</v>
      </c>
      <c r="H27" s="12" t="e">
        <f>ROUND((((0.68-(0.000015*POWER(G27*$Q$4,2)-0.0022))*(2*Pappe+Eingabe!$P$18+G27*$Q$4)-0.5)*102*PI()/180)/$Q$5,0)*$Q$5</f>
        <v>#DIV/0!</v>
      </c>
      <c r="J27" s="11">
        <f t="shared" si="3"/>
        <v>2464</v>
      </c>
      <c r="K27" s="12" t="e">
        <f>ROUND((((0.68-(0.000015*POWER(J27*$Q$4,2)-0.0022))*(2*Pappe+Eingabe!$P$18+J27*$Q$4)-0.5)*102*PI()/180)/$Q$5,0)*$Q$5</f>
        <v>#DIV/0!</v>
      </c>
      <c r="M27" s="11">
        <f t="shared" si="4"/>
        <v>3184</v>
      </c>
      <c r="N27" s="12" t="e">
        <f>ROUND((((0.68-(0.000015*POWER(M27*$Q$4,2)-0.0022))*(2*Pappe+Eingabe!$P$18+M27*$Q$4)-0.5)*102*PI()/180)/$Q$5,0)*$Q$5</f>
        <v>#DIV/0!</v>
      </c>
    </row>
    <row r="28" spans="1:14" ht="14" customHeight="1">
      <c r="A28" s="11">
        <f t="shared" si="0"/>
        <v>320</v>
      </c>
      <c r="B28" s="12" t="e">
        <f>ROUND((((0.68-(0.000015*POWER(A28*$Q$4,2)-0.0022))*(2*Pappe+Eingabe!$P$18+A28*$Q$4)-0.5)*102*PI()/180)/$Q$5,0)*$Q$5</f>
        <v>#DIV/0!</v>
      </c>
      <c r="D28" s="11">
        <f t="shared" si="1"/>
        <v>1040</v>
      </c>
      <c r="E28" s="12" t="e">
        <f>ROUND((((0.68-(0.000015*POWER(D28*$Q$4,2)-0.0022))*(2*Pappe+Eingabe!$P$18+D28*$Q$4)-0.5)*102*PI()/180)/$Q$5,0)*$Q$5</f>
        <v>#DIV/0!</v>
      </c>
      <c r="G28" s="11">
        <f t="shared" si="2"/>
        <v>1760</v>
      </c>
      <c r="H28" s="12" t="e">
        <f>ROUND((((0.68-(0.000015*POWER(G28*$Q$4,2)-0.0022))*(2*Pappe+Eingabe!$P$18+G28*$Q$4)-0.5)*102*PI()/180)/$Q$5,0)*$Q$5</f>
        <v>#DIV/0!</v>
      </c>
      <c r="J28" s="11">
        <f t="shared" si="3"/>
        <v>2480</v>
      </c>
      <c r="K28" s="12" t="e">
        <f>ROUND((((0.68-(0.000015*POWER(J28*$Q$4,2)-0.0022))*(2*Pappe+Eingabe!$P$18+J28*$Q$4)-0.5)*102*PI()/180)/$Q$5,0)*$Q$5</f>
        <v>#DIV/0!</v>
      </c>
      <c r="M28" s="11">
        <f t="shared" si="4"/>
        <v>3200</v>
      </c>
      <c r="N28" s="12" t="e">
        <f>ROUND((((0.68-(0.000015*POWER(M28*$Q$4,2)-0.0022))*(2*Pappe+Eingabe!$P$18+M28*$Q$4)-0.5)*102*PI()/180)/$Q$5,0)*$Q$5</f>
        <v>#DIV/0!</v>
      </c>
    </row>
    <row r="29" spans="1:14" ht="14" customHeight="1">
      <c r="A29" s="11">
        <f t="shared" si="0"/>
        <v>336</v>
      </c>
      <c r="B29" s="12" t="e">
        <f>ROUND((((0.68-(0.000015*POWER(A29*$Q$4,2)-0.0022))*(2*Pappe+Eingabe!$P$18+A29*$Q$4)-0.5)*102*PI()/180)/$Q$5,0)*$Q$5</f>
        <v>#DIV/0!</v>
      </c>
      <c r="D29" s="11">
        <f t="shared" si="1"/>
        <v>1056</v>
      </c>
      <c r="E29" s="12" t="e">
        <f>ROUND((((0.68-(0.000015*POWER(D29*$Q$4,2)-0.0022))*(2*Pappe+Eingabe!$P$18+D29*$Q$4)-0.5)*102*PI()/180)/$Q$5,0)*$Q$5</f>
        <v>#DIV/0!</v>
      </c>
      <c r="G29" s="11">
        <f t="shared" si="2"/>
        <v>1776</v>
      </c>
      <c r="H29" s="12" t="e">
        <f>ROUND((((0.68-(0.000015*POWER(G29*$Q$4,2)-0.0022))*(2*Pappe+Eingabe!$P$18+G29*$Q$4)-0.5)*102*PI()/180)/$Q$5,0)*$Q$5</f>
        <v>#DIV/0!</v>
      </c>
      <c r="J29" s="11">
        <f t="shared" si="3"/>
        <v>2496</v>
      </c>
      <c r="K29" s="12" t="e">
        <f>ROUND((((0.68-(0.000015*POWER(J29*$Q$4,2)-0.0022))*(2*Pappe+Eingabe!$P$18+J29*$Q$4)-0.5)*102*PI()/180)/$Q$5,0)*$Q$5</f>
        <v>#DIV/0!</v>
      </c>
      <c r="M29" s="11">
        <f t="shared" si="4"/>
        <v>3216</v>
      </c>
      <c r="N29" s="12" t="e">
        <f>ROUND((((0.68-(0.000015*POWER(M29*$Q$4,2)-0.0022))*(2*Pappe+Eingabe!$P$18+M29*$Q$4)-0.5)*102*PI()/180)/$Q$5,0)*$Q$5</f>
        <v>#DIV/0!</v>
      </c>
    </row>
    <row r="30" spans="1:14" ht="14" customHeight="1">
      <c r="A30" s="11">
        <f t="shared" si="0"/>
        <v>352</v>
      </c>
      <c r="B30" s="12" t="e">
        <f>ROUND((((0.68-(0.000015*POWER(A30*$Q$4,2)-0.0022))*(2*Pappe+Eingabe!$P$18+A30*$Q$4)-0.5)*102*PI()/180)/$Q$5,0)*$Q$5</f>
        <v>#DIV/0!</v>
      </c>
      <c r="D30" s="11">
        <f t="shared" si="1"/>
        <v>1072</v>
      </c>
      <c r="E30" s="12" t="e">
        <f>ROUND((((0.68-(0.000015*POWER(D30*$Q$4,2)-0.0022))*(2*Pappe+Eingabe!$P$18+D30*$Q$4)-0.5)*102*PI()/180)/$Q$5,0)*$Q$5</f>
        <v>#DIV/0!</v>
      </c>
      <c r="G30" s="11">
        <f t="shared" si="2"/>
        <v>1792</v>
      </c>
      <c r="H30" s="12" t="e">
        <f>ROUND((((0.68-(0.000015*POWER(G30*$Q$4,2)-0.0022))*(2*Pappe+Eingabe!$P$18+G30*$Q$4)-0.5)*102*PI()/180)/$Q$5,0)*$Q$5</f>
        <v>#DIV/0!</v>
      </c>
      <c r="J30" s="11">
        <f t="shared" si="3"/>
        <v>2512</v>
      </c>
      <c r="K30" s="12" t="e">
        <f>ROUND((((0.68-(0.000015*POWER(J30*$Q$4,2)-0.0022))*(2*Pappe+Eingabe!$P$18+J30*$Q$4)-0.5)*102*PI()/180)/$Q$5,0)*$Q$5</f>
        <v>#DIV/0!</v>
      </c>
      <c r="M30" s="11">
        <f t="shared" si="4"/>
        <v>3232</v>
      </c>
      <c r="N30" s="12" t="e">
        <f>ROUND((((0.68-(0.000015*POWER(M30*$Q$4,2)-0.0022))*(2*Pappe+Eingabe!$P$18+M30*$Q$4)-0.5)*102*PI()/180)/$Q$5,0)*$Q$5</f>
        <v>#DIV/0!</v>
      </c>
    </row>
    <row r="31" spans="1:14" ht="14" customHeight="1">
      <c r="A31" s="11">
        <f t="shared" si="0"/>
        <v>368</v>
      </c>
      <c r="B31" s="12" t="e">
        <f>ROUND((((0.68-(0.000015*POWER(A31*$Q$4,2)-0.0022))*(2*Pappe+Eingabe!$P$18+A31*$Q$4)-0.5)*102*PI()/180)/$Q$5,0)*$Q$5</f>
        <v>#DIV/0!</v>
      </c>
      <c r="D31" s="11">
        <f t="shared" si="1"/>
        <v>1088</v>
      </c>
      <c r="E31" s="12" t="e">
        <f>ROUND((((0.68-(0.000015*POWER(D31*$Q$4,2)-0.0022))*(2*Pappe+Eingabe!$P$18+D31*$Q$4)-0.5)*102*PI()/180)/$Q$5,0)*$Q$5</f>
        <v>#DIV/0!</v>
      </c>
      <c r="G31" s="11">
        <f t="shared" si="2"/>
        <v>1808</v>
      </c>
      <c r="H31" s="12" t="e">
        <f>ROUND((((0.68-(0.000015*POWER(G31*$Q$4,2)-0.0022))*(2*Pappe+Eingabe!$P$18+G31*$Q$4)-0.5)*102*PI()/180)/$Q$5,0)*$Q$5</f>
        <v>#DIV/0!</v>
      </c>
      <c r="J31" s="11">
        <f t="shared" si="3"/>
        <v>2528</v>
      </c>
      <c r="K31" s="12" t="e">
        <f>ROUND((((0.68-(0.000015*POWER(J31*$Q$4,2)-0.0022))*(2*Pappe+Eingabe!$P$18+J31*$Q$4)-0.5)*102*PI()/180)/$Q$5,0)*$Q$5</f>
        <v>#DIV/0!</v>
      </c>
      <c r="M31" s="11">
        <f t="shared" si="4"/>
        <v>3248</v>
      </c>
      <c r="N31" s="12" t="e">
        <f>ROUND((((0.68-(0.000015*POWER(M31*$Q$4,2)-0.0022))*(2*Pappe+Eingabe!$P$18+M31*$Q$4)-0.5)*102*PI()/180)/$Q$5,0)*$Q$5</f>
        <v>#DIV/0!</v>
      </c>
    </row>
    <row r="32" spans="1:14" ht="14" customHeight="1">
      <c r="A32" s="11">
        <f t="shared" si="0"/>
        <v>384</v>
      </c>
      <c r="B32" s="12" t="e">
        <f>ROUND((((0.68-(0.000015*POWER(A32*$Q$4,2)-0.0022))*(2*Pappe+Eingabe!$P$18+A32*$Q$4)-0.5)*102*PI()/180)/$Q$5,0)*$Q$5</f>
        <v>#DIV/0!</v>
      </c>
      <c r="D32" s="11">
        <f t="shared" si="1"/>
        <v>1104</v>
      </c>
      <c r="E32" s="12" t="e">
        <f>ROUND((((0.68-(0.000015*POWER(D32*$Q$4,2)-0.0022))*(2*Pappe+Eingabe!$P$18+D32*$Q$4)-0.5)*102*PI()/180)/$Q$5,0)*$Q$5</f>
        <v>#DIV/0!</v>
      </c>
      <c r="G32" s="11">
        <f t="shared" si="2"/>
        <v>1824</v>
      </c>
      <c r="H32" s="12" t="e">
        <f>ROUND((((0.68-(0.000015*POWER(G32*$Q$4,2)-0.0022))*(2*Pappe+Eingabe!$P$18+G32*$Q$4)-0.5)*102*PI()/180)/$Q$5,0)*$Q$5</f>
        <v>#DIV/0!</v>
      </c>
      <c r="J32" s="11">
        <f t="shared" si="3"/>
        <v>2544</v>
      </c>
      <c r="K32" s="12" t="e">
        <f>ROUND((((0.68-(0.000015*POWER(J32*$Q$4,2)-0.0022))*(2*Pappe+Eingabe!$P$18+J32*$Q$4)-0.5)*102*PI()/180)/$Q$5,0)*$Q$5</f>
        <v>#DIV/0!</v>
      </c>
      <c r="M32" s="11">
        <f t="shared" si="4"/>
        <v>3264</v>
      </c>
      <c r="N32" s="12" t="e">
        <f>ROUND((((0.68-(0.000015*POWER(M32*$Q$4,2)-0.0022))*(2*Pappe+Eingabe!$P$18+M32*$Q$4)-0.5)*102*PI()/180)/$Q$5,0)*$Q$5</f>
        <v>#DIV/0!</v>
      </c>
    </row>
    <row r="33" spans="1:14" ht="14" customHeight="1">
      <c r="A33" s="11">
        <f t="shared" si="0"/>
        <v>400</v>
      </c>
      <c r="B33" s="12" t="e">
        <f>ROUND((((0.68-(0.000015*POWER(A33*$Q$4,2)-0.0022))*(2*Pappe+Eingabe!$P$18+A33*$Q$4)-0.5)*102*PI()/180)/$Q$5,0)*$Q$5</f>
        <v>#DIV/0!</v>
      </c>
      <c r="D33" s="11">
        <f t="shared" si="1"/>
        <v>1120</v>
      </c>
      <c r="E33" s="12" t="e">
        <f>ROUND((((0.68-(0.000015*POWER(D33*$Q$4,2)-0.0022))*(2*Pappe+Eingabe!$P$18+D33*$Q$4)-0.5)*102*PI()/180)/$Q$5,0)*$Q$5</f>
        <v>#DIV/0!</v>
      </c>
      <c r="G33" s="11">
        <f t="shared" si="2"/>
        <v>1840</v>
      </c>
      <c r="H33" s="12" t="e">
        <f>ROUND((((0.68-(0.000015*POWER(G33*$Q$4,2)-0.0022))*(2*Pappe+Eingabe!$P$18+G33*$Q$4)-0.5)*102*PI()/180)/$Q$5,0)*$Q$5</f>
        <v>#DIV/0!</v>
      </c>
      <c r="J33" s="11">
        <f t="shared" si="3"/>
        <v>2560</v>
      </c>
      <c r="K33" s="12" t="e">
        <f>ROUND((((0.68-(0.000015*POWER(J33*$Q$4,2)-0.0022))*(2*Pappe+Eingabe!$P$18+J33*$Q$4)-0.5)*102*PI()/180)/$Q$5,0)*$Q$5</f>
        <v>#DIV/0!</v>
      </c>
      <c r="M33" s="11">
        <f t="shared" si="4"/>
        <v>3280</v>
      </c>
      <c r="N33" s="12" t="e">
        <f>ROUND((((0.68-(0.000015*POWER(M33*$Q$4,2)-0.0022))*(2*Pappe+Eingabe!$P$18+M33*$Q$4)-0.5)*102*PI()/180)/$Q$5,0)*$Q$5</f>
        <v>#DIV/0!</v>
      </c>
    </row>
    <row r="34" spans="1:14" ht="14" customHeight="1">
      <c r="A34" s="11">
        <f t="shared" si="0"/>
        <v>416</v>
      </c>
      <c r="B34" s="12" t="e">
        <f>ROUND((((0.68-(0.000015*POWER(A34*$Q$4,2)-0.0022))*(2*Pappe+Eingabe!$P$18+A34*$Q$4)-0.5)*102*PI()/180)/$Q$5,0)*$Q$5</f>
        <v>#DIV/0!</v>
      </c>
      <c r="D34" s="11">
        <f t="shared" si="1"/>
        <v>1136</v>
      </c>
      <c r="E34" s="12" t="e">
        <f>ROUND((((0.68-(0.000015*POWER(D34*$Q$4,2)-0.0022))*(2*Pappe+Eingabe!$P$18+D34*$Q$4)-0.5)*102*PI()/180)/$Q$5,0)*$Q$5</f>
        <v>#DIV/0!</v>
      </c>
      <c r="G34" s="11">
        <f t="shared" si="2"/>
        <v>1856</v>
      </c>
      <c r="H34" s="12" t="e">
        <f>ROUND((((0.68-(0.000015*POWER(G34*$Q$4,2)-0.0022))*(2*Pappe+Eingabe!$P$18+G34*$Q$4)-0.5)*102*PI()/180)/$Q$5,0)*$Q$5</f>
        <v>#DIV/0!</v>
      </c>
      <c r="J34" s="11">
        <f t="shared" si="3"/>
        <v>2576</v>
      </c>
      <c r="K34" s="12" t="e">
        <f>ROUND((((0.68-(0.000015*POWER(J34*$Q$4,2)-0.0022))*(2*Pappe+Eingabe!$P$18+J34*$Q$4)-0.5)*102*PI()/180)/$Q$5,0)*$Q$5</f>
        <v>#DIV/0!</v>
      </c>
      <c r="M34" s="11">
        <f t="shared" si="4"/>
        <v>3296</v>
      </c>
      <c r="N34" s="12" t="e">
        <f>ROUND((((0.68-(0.000015*POWER(M34*$Q$4,2)-0.0022))*(2*Pappe+Eingabe!$P$18+M34*$Q$4)-0.5)*102*PI()/180)/$Q$5,0)*$Q$5</f>
        <v>#DIV/0!</v>
      </c>
    </row>
    <row r="35" spans="1:14" ht="14" customHeight="1">
      <c r="A35" s="11">
        <f t="shared" si="0"/>
        <v>432</v>
      </c>
      <c r="B35" s="12" t="e">
        <f>ROUND((((0.68-(0.000015*POWER(A35*$Q$4,2)-0.0022))*(2*Pappe+Eingabe!$P$18+A35*$Q$4)-0.5)*102*PI()/180)/$Q$5,0)*$Q$5</f>
        <v>#DIV/0!</v>
      </c>
      <c r="D35" s="11">
        <f t="shared" si="1"/>
        <v>1152</v>
      </c>
      <c r="E35" s="12" t="e">
        <f>ROUND((((0.68-(0.000015*POWER(D35*$Q$4,2)-0.0022))*(2*Pappe+Eingabe!$P$18+D35*$Q$4)-0.5)*102*PI()/180)/$Q$5,0)*$Q$5</f>
        <v>#DIV/0!</v>
      </c>
      <c r="G35" s="11">
        <f t="shared" si="2"/>
        <v>1872</v>
      </c>
      <c r="H35" s="12" t="e">
        <f>ROUND((((0.68-(0.000015*POWER(G35*$Q$4,2)-0.0022))*(2*Pappe+Eingabe!$P$18+G35*$Q$4)-0.5)*102*PI()/180)/$Q$5,0)*$Q$5</f>
        <v>#DIV/0!</v>
      </c>
      <c r="J35" s="11">
        <f t="shared" si="3"/>
        <v>2592</v>
      </c>
      <c r="K35" s="12" t="e">
        <f>ROUND((((0.68-(0.000015*POWER(J35*$Q$4,2)-0.0022))*(2*Pappe+Eingabe!$P$18+J35*$Q$4)-0.5)*102*PI()/180)/$Q$5,0)*$Q$5</f>
        <v>#DIV/0!</v>
      </c>
      <c r="M35" s="11">
        <f t="shared" si="4"/>
        <v>3312</v>
      </c>
      <c r="N35" s="12" t="e">
        <f>ROUND((((0.68-(0.000015*POWER(M35*$Q$4,2)-0.0022))*(2*Pappe+Eingabe!$P$18+M35*$Q$4)-0.5)*102*PI()/180)/$Q$5,0)*$Q$5</f>
        <v>#DIV/0!</v>
      </c>
    </row>
    <row r="36" spans="1:14" ht="14" customHeight="1">
      <c r="A36" s="11">
        <f t="shared" si="0"/>
        <v>448</v>
      </c>
      <c r="B36" s="12" t="e">
        <f>ROUND((((0.68-(0.000015*POWER(A36*$Q$4,2)-0.0022))*(2*Pappe+Eingabe!$P$18+A36*$Q$4)-0.5)*102*PI()/180)/$Q$5,0)*$Q$5</f>
        <v>#DIV/0!</v>
      </c>
      <c r="D36" s="11">
        <f t="shared" si="1"/>
        <v>1168</v>
      </c>
      <c r="E36" s="12" t="e">
        <f>ROUND((((0.68-(0.000015*POWER(D36*$Q$4,2)-0.0022))*(2*Pappe+Eingabe!$P$18+D36*$Q$4)-0.5)*102*PI()/180)/$Q$5,0)*$Q$5</f>
        <v>#DIV/0!</v>
      </c>
      <c r="G36" s="11">
        <f t="shared" si="2"/>
        <v>1888</v>
      </c>
      <c r="H36" s="12" t="e">
        <f>ROUND((((0.68-(0.000015*POWER(G36*$Q$4,2)-0.0022))*(2*Pappe+Eingabe!$P$18+G36*$Q$4)-0.5)*102*PI()/180)/$Q$5,0)*$Q$5</f>
        <v>#DIV/0!</v>
      </c>
      <c r="J36" s="11">
        <f t="shared" si="3"/>
        <v>2608</v>
      </c>
      <c r="K36" s="12" t="e">
        <f>ROUND((((0.68-(0.000015*POWER(J36*$Q$4,2)-0.0022))*(2*Pappe+Eingabe!$P$18+J36*$Q$4)-0.5)*102*PI()/180)/$Q$5,0)*$Q$5</f>
        <v>#DIV/0!</v>
      </c>
      <c r="M36" s="11">
        <f t="shared" si="4"/>
        <v>3328</v>
      </c>
      <c r="N36" s="12" t="e">
        <f>ROUND((((0.68-(0.000015*POWER(M36*$Q$4,2)-0.0022))*(2*Pappe+Eingabe!$P$18+M36*$Q$4)-0.5)*102*PI()/180)/$Q$5,0)*$Q$5</f>
        <v>#DIV/0!</v>
      </c>
    </row>
    <row r="37" spans="1:14" ht="14" customHeight="1">
      <c r="A37" s="11">
        <f t="shared" si="0"/>
        <v>464</v>
      </c>
      <c r="B37" s="12" t="e">
        <f>ROUND((((0.68-(0.000015*POWER(A37*$Q$4,2)-0.0022))*(2*Pappe+Eingabe!$P$18+A37*$Q$4)-0.5)*102*PI()/180)/$Q$5,0)*$Q$5</f>
        <v>#DIV/0!</v>
      </c>
      <c r="D37" s="11">
        <f t="shared" si="1"/>
        <v>1184</v>
      </c>
      <c r="E37" s="12" t="e">
        <f>ROUND((((0.68-(0.000015*POWER(D37*$Q$4,2)-0.0022))*(2*Pappe+Eingabe!$P$18+D37*$Q$4)-0.5)*102*PI()/180)/$Q$5,0)*$Q$5</f>
        <v>#DIV/0!</v>
      </c>
      <c r="G37" s="11">
        <f t="shared" si="2"/>
        <v>1904</v>
      </c>
      <c r="H37" s="12" t="e">
        <f>ROUND((((0.68-(0.000015*POWER(G37*$Q$4,2)-0.0022))*(2*Pappe+Eingabe!$P$18+G37*$Q$4)-0.5)*102*PI()/180)/$Q$5,0)*$Q$5</f>
        <v>#DIV/0!</v>
      </c>
      <c r="J37" s="11">
        <f t="shared" si="3"/>
        <v>2624</v>
      </c>
      <c r="K37" s="12" t="e">
        <f>ROUND((((0.68-(0.000015*POWER(J37*$Q$4,2)-0.0022))*(2*Pappe+Eingabe!$P$18+J37*$Q$4)-0.5)*102*PI()/180)/$Q$5,0)*$Q$5</f>
        <v>#DIV/0!</v>
      </c>
      <c r="M37" s="11">
        <f t="shared" si="4"/>
        <v>3344</v>
      </c>
      <c r="N37" s="12" t="e">
        <f>ROUND((((0.68-(0.000015*POWER(M37*$Q$4,2)-0.0022))*(2*Pappe+Eingabe!$P$18+M37*$Q$4)-0.5)*102*PI()/180)/$Q$5,0)*$Q$5</f>
        <v>#DIV/0!</v>
      </c>
    </row>
    <row r="38" spans="1:14" ht="14" customHeight="1">
      <c r="A38" s="11">
        <f t="shared" si="0"/>
        <v>480</v>
      </c>
      <c r="B38" s="12" t="e">
        <f>ROUND((((0.68-(0.000015*POWER(A38*$Q$4,2)-0.0022))*(2*Pappe+Eingabe!$P$18+A38*$Q$4)-0.5)*102*PI()/180)/$Q$5,0)*$Q$5</f>
        <v>#DIV/0!</v>
      </c>
      <c r="D38" s="11">
        <f t="shared" si="1"/>
        <v>1200</v>
      </c>
      <c r="E38" s="12" t="e">
        <f>ROUND((((0.68-(0.000015*POWER(D38*$Q$4,2)-0.0022))*(2*Pappe+Eingabe!$P$18+D38*$Q$4)-0.5)*102*PI()/180)/$Q$5,0)*$Q$5</f>
        <v>#DIV/0!</v>
      </c>
      <c r="G38" s="11">
        <f t="shared" si="2"/>
        <v>1920</v>
      </c>
      <c r="H38" s="12" t="e">
        <f>ROUND((((0.68-(0.000015*POWER(G38*$Q$4,2)-0.0022))*(2*Pappe+Eingabe!$P$18+G38*$Q$4)-0.5)*102*PI()/180)/$Q$5,0)*$Q$5</f>
        <v>#DIV/0!</v>
      </c>
      <c r="J38" s="11">
        <f t="shared" si="3"/>
        <v>2640</v>
      </c>
      <c r="K38" s="12" t="e">
        <f>ROUND((((0.68-(0.000015*POWER(J38*$Q$4,2)-0.0022))*(2*Pappe+Eingabe!$P$18+J38*$Q$4)-0.5)*102*PI()/180)/$Q$5,0)*$Q$5</f>
        <v>#DIV/0!</v>
      </c>
      <c r="M38" s="11">
        <f t="shared" si="4"/>
        <v>3360</v>
      </c>
      <c r="N38" s="12" t="e">
        <f>ROUND((((0.68-(0.000015*POWER(M38*$Q$4,2)-0.0022))*(2*Pappe+Eingabe!$P$18+M38*$Q$4)-0.5)*102*PI()/180)/$Q$5,0)*$Q$5</f>
        <v>#DIV/0!</v>
      </c>
    </row>
    <row r="39" spans="1:14" ht="14" customHeight="1">
      <c r="A39" s="11">
        <f t="shared" si="0"/>
        <v>496</v>
      </c>
      <c r="B39" s="12" t="e">
        <f>ROUND((((0.68-(0.000015*POWER(A39*$Q$4,2)-0.0022))*(2*Pappe+Eingabe!$P$18+A39*$Q$4)-0.5)*102*PI()/180)/$Q$5,0)*$Q$5</f>
        <v>#DIV/0!</v>
      </c>
      <c r="D39" s="11">
        <f t="shared" si="1"/>
        <v>1216</v>
      </c>
      <c r="E39" s="12" t="e">
        <f>ROUND((((0.68-(0.000015*POWER(D39*$Q$4,2)-0.0022))*(2*Pappe+Eingabe!$P$18+D39*$Q$4)-0.5)*102*PI()/180)/$Q$5,0)*$Q$5</f>
        <v>#DIV/0!</v>
      </c>
      <c r="G39" s="11">
        <f t="shared" si="2"/>
        <v>1936</v>
      </c>
      <c r="H39" s="12" t="e">
        <f>ROUND((((0.68-(0.000015*POWER(G39*$Q$4,2)-0.0022))*(2*Pappe+Eingabe!$P$18+G39*$Q$4)-0.5)*102*PI()/180)/$Q$5,0)*$Q$5</f>
        <v>#DIV/0!</v>
      </c>
      <c r="J39" s="11">
        <f t="shared" si="3"/>
        <v>2656</v>
      </c>
      <c r="K39" s="12" t="e">
        <f>ROUND((((0.68-(0.000015*POWER(J39*$Q$4,2)-0.0022))*(2*Pappe+Eingabe!$P$18+J39*$Q$4)-0.5)*102*PI()/180)/$Q$5,0)*$Q$5</f>
        <v>#DIV/0!</v>
      </c>
      <c r="M39" s="11">
        <f t="shared" si="4"/>
        <v>3376</v>
      </c>
      <c r="N39" s="12" t="e">
        <f>ROUND((((0.68-(0.000015*POWER(M39*$Q$4,2)-0.0022))*(2*Pappe+Eingabe!$P$18+M39*$Q$4)-0.5)*102*PI()/180)/$Q$5,0)*$Q$5</f>
        <v>#DIV/0!</v>
      </c>
    </row>
    <row r="40" spans="1:14" ht="14" customHeight="1">
      <c r="A40" s="11">
        <f t="shared" si="0"/>
        <v>512</v>
      </c>
      <c r="B40" s="12" t="e">
        <f>ROUND((((0.68-(0.000015*POWER(A40*$Q$4,2)-0.0022))*(2*Pappe+Eingabe!$P$18+A40*$Q$4)-0.5)*102*PI()/180)/$Q$5,0)*$Q$5</f>
        <v>#DIV/0!</v>
      </c>
      <c r="D40" s="11">
        <f t="shared" si="1"/>
        <v>1232</v>
      </c>
      <c r="E40" s="12" t="e">
        <f>ROUND((((0.68-(0.000015*POWER(D40*$Q$4,2)-0.0022))*(2*Pappe+Eingabe!$P$18+D40*$Q$4)-0.5)*102*PI()/180)/$Q$5,0)*$Q$5</f>
        <v>#DIV/0!</v>
      </c>
      <c r="G40" s="11">
        <f t="shared" si="2"/>
        <v>1952</v>
      </c>
      <c r="H40" s="12" t="e">
        <f>ROUND((((0.68-(0.000015*POWER(G40*$Q$4,2)-0.0022))*(2*Pappe+Eingabe!$P$18+G40*$Q$4)-0.5)*102*PI()/180)/$Q$5,0)*$Q$5</f>
        <v>#DIV/0!</v>
      </c>
      <c r="J40" s="11">
        <f t="shared" si="3"/>
        <v>2672</v>
      </c>
      <c r="K40" s="12" t="e">
        <f>ROUND((((0.68-(0.000015*POWER(J40*$Q$4,2)-0.0022))*(2*Pappe+Eingabe!$P$18+J40*$Q$4)-0.5)*102*PI()/180)/$Q$5,0)*$Q$5</f>
        <v>#DIV/0!</v>
      </c>
      <c r="M40" s="11">
        <f t="shared" si="4"/>
        <v>3392</v>
      </c>
      <c r="N40" s="12" t="e">
        <f>ROUND((((0.68-(0.000015*POWER(M40*$Q$4,2)-0.0022))*(2*Pappe+Eingabe!$P$18+M40*$Q$4)-0.5)*102*PI()/180)/$Q$5,0)*$Q$5</f>
        <v>#DIV/0!</v>
      </c>
    </row>
    <row r="41" spans="1:14" ht="14" customHeight="1">
      <c r="A41" s="11">
        <f t="shared" si="0"/>
        <v>528</v>
      </c>
      <c r="B41" s="12" t="e">
        <f>ROUND((((0.68-(0.000015*POWER(A41*$Q$4,2)-0.0022))*(2*Pappe+Eingabe!$P$18+A41*$Q$4)-0.5)*102*PI()/180)/$Q$5,0)*$Q$5</f>
        <v>#DIV/0!</v>
      </c>
      <c r="D41" s="11">
        <f t="shared" si="1"/>
        <v>1248</v>
      </c>
      <c r="E41" s="12" t="e">
        <f>ROUND((((0.68-(0.000015*POWER(D41*$Q$4,2)-0.0022))*(2*Pappe+Eingabe!$P$18+D41*$Q$4)-0.5)*102*PI()/180)/$Q$5,0)*$Q$5</f>
        <v>#DIV/0!</v>
      </c>
      <c r="G41" s="11">
        <f t="shared" si="2"/>
        <v>1968</v>
      </c>
      <c r="H41" s="12" t="e">
        <f>ROUND((((0.68-(0.000015*POWER(G41*$Q$4,2)-0.0022))*(2*Pappe+Eingabe!$P$18+G41*$Q$4)-0.5)*102*PI()/180)/$Q$5,0)*$Q$5</f>
        <v>#DIV/0!</v>
      </c>
      <c r="J41" s="11">
        <f t="shared" si="3"/>
        <v>2688</v>
      </c>
      <c r="K41" s="12" t="e">
        <f>ROUND((((0.68-(0.000015*POWER(J41*$Q$4,2)-0.0022))*(2*Pappe+Eingabe!$P$18+J41*$Q$4)-0.5)*102*PI()/180)/$Q$5,0)*$Q$5</f>
        <v>#DIV/0!</v>
      </c>
      <c r="M41" s="11">
        <f t="shared" si="4"/>
        <v>3408</v>
      </c>
      <c r="N41" s="12" t="e">
        <f>ROUND((((0.68-(0.000015*POWER(M41*$Q$4,2)-0.0022))*(2*Pappe+Eingabe!$P$18+M41*$Q$4)-0.5)*102*PI()/180)/$Q$5,0)*$Q$5</f>
        <v>#DIV/0!</v>
      </c>
    </row>
    <row r="42" spans="1:14" ht="14" customHeight="1">
      <c r="A42" s="11">
        <f t="shared" si="0"/>
        <v>544</v>
      </c>
      <c r="B42" s="12" t="e">
        <f>ROUND((((0.68-(0.000015*POWER(A42*$Q$4,2)-0.0022))*(2*Pappe+Eingabe!$P$18+A42*$Q$4)-0.5)*102*PI()/180)/$Q$5,0)*$Q$5</f>
        <v>#DIV/0!</v>
      </c>
      <c r="D42" s="11">
        <f t="shared" si="1"/>
        <v>1264</v>
      </c>
      <c r="E42" s="12" t="e">
        <f>ROUND((((0.68-(0.000015*POWER(D42*$Q$4,2)-0.0022))*(2*Pappe+Eingabe!$P$18+D42*$Q$4)-0.5)*102*PI()/180)/$Q$5,0)*$Q$5</f>
        <v>#DIV/0!</v>
      </c>
      <c r="G42" s="11">
        <f t="shared" si="2"/>
        <v>1984</v>
      </c>
      <c r="H42" s="12" t="e">
        <f>ROUND((((0.68-(0.000015*POWER(G42*$Q$4,2)-0.0022))*(2*Pappe+Eingabe!$P$18+G42*$Q$4)-0.5)*102*PI()/180)/$Q$5,0)*$Q$5</f>
        <v>#DIV/0!</v>
      </c>
      <c r="J42" s="11">
        <f t="shared" si="3"/>
        <v>2704</v>
      </c>
      <c r="K42" s="12" t="e">
        <f>ROUND((((0.68-(0.000015*POWER(J42*$Q$4,2)-0.0022))*(2*Pappe+Eingabe!$P$18+J42*$Q$4)-0.5)*102*PI()/180)/$Q$5,0)*$Q$5</f>
        <v>#DIV/0!</v>
      </c>
      <c r="M42" s="11">
        <f t="shared" si="4"/>
        <v>3424</v>
      </c>
      <c r="N42" s="12" t="e">
        <f>ROUND((((0.68-(0.000015*POWER(M42*$Q$4,2)-0.0022))*(2*Pappe+Eingabe!$P$18+M42*$Q$4)-0.5)*102*PI()/180)/$Q$5,0)*$Q$5</f>
        <v>#DIV/0!</v>
      </c>
    </row>
    <row r="43" spans="1:14" ht="14" customHeight="1">
      <c r="A43" s="11">
        <f t="shared" si="0"/>
        <v>560</v>
      </c>
      <c r="B43" s="12" t="e">
        <f>ROUND((((0.68-(0.000015*POWER(A43*$Q$4,2)-0.0022))*(2*Pappe+Eingabe!$P$18+A43*$Q$4)-0.5)*102*PI()/180)/$Q$5,0)*$Q$5</f>
        <v>#DIV/0!</v>
      </c>
      <c r="D43" s="11">
        <f t="shared" si="1"/>
        <v>1280</v>
      </c>
      <c r="E43" s="12" t="e">
        <f>ROUND((((0.68-(0.000015*POWER(D43*$Q$4,2)-0.0022))*(2*Pappe+Eingabe!$P$18+D43*$Q$4)-0.5)*102*PI()/180)/$Q$5,0)*$Q$5</f>
        <v>#DIV/0!</v>
      </c>
      <c r="G43" s="11">
        <f t="shared" si="2"/>
        <v>2000</v>
      </c>
      <c r="H43" s="12" t="e">
        <f>ROUND((((0.68-(0.000015*POWER(G43*$Q$4,2)-0.0022))*(2*Pappe+Eingabe!$P$18+G43*$Q$4)-0.5)*102*PI()/180)/$Q$5,0)*$Q$5</f>
        <v>#DIV/0!</v>
      </c>
      <c r="J43" s="11">
        <f t="shared" si="3"/>
        <v>2720</v>
      </c>
      <c r="K43" s="12" t="e">
        <f>ROUND((((0.68-(0.000015*POWER(J43*$Q$4,2)-0.0022))*(2*Pappe+Eingabe!$P$18+J43*$Q$4)-0.5)*102*PI()/180)/$Q$5,0)*$Q$5</f>
        <v>#DIV/0!</v>
      </c>
      <c r="M43" s="11">
        <f t="shared" si="4"/>
        <v>3440</v>
      </c>
      <c r="N43" s="12" t="e">
        <f>ROUND((((0.68-(0.000015*POWER(M43*$Q$4,2)-0.0022))*(2*Pappe+Eingabe!$P$18+M43*$Q$4)-0.5)*102*PI()/180)/$Q$5,0)*$Q$5</f>
        <v>#DIV/0!</v>
      </c>
    </row>
    <row r="44" spans="1:14" ht="14" customHeight="1">
      <c r="A44" s="11">
        <f t="shared" si="0"/>
        <v>576</v>
      </c>
      <c r="B44" s="12" t="e">
        <f>ROUND((((0.68-(0.000015*POWER(A44*$Q$4,2)-0.0022))*(2*Pappe+Eingabe!$P$18+A44*$Q$4)-0.5)*102*PI()/180)/$Q$5,0)*$Q$5</f>
        <v>#DIV/0!</v>
      </c>
      <c r="D44" s="11">
        <f t="shared" si="1"/>
        <v>1296</v>
      </c>
      <c r="E44" s="12" t="e">
        <f>ROUND((((0.68-(0.000015*POWER(D44*$Q$4,2)-0.0022))*(2*Pappe+Eingabe!$P$18+D44*$Q$4)-0.5)*102*PI()/180)/$Q$5,0)*$Q$5</f>
        <v>#DIV/0!</v>
      </c>
      <c r="G44" s="11">
        <f t="shared" si="2"/>
        <v>2016</v>
      </c>
      <c r="H44" s="12" t="e">
        <f>ROUND((((0.68-(0.000015*POWER(G44*$Q$4,2)-0.0022))*(2*Pappe+Eingabe!$P$18+G44*$Q$4)-0.5)*102*PI()/180)/$Q$5,0)*$Q$5</f>
        <v>#DIV/0!</v>
      </c>
      <c r="J44" s="11">
        <f t="shared" si="3"/>
        <v>2736</v>
      </c>
      <c r="K44" s="12" t="e">
        <f>ROUND((((0.68-(0.000015*POWER(J44*$Q$4,2)-0.0022))*(2*Pappe+Eingabe!$P$18+J44*$Q$4)-0.5)*102*PI()/180)/$Q$5,0)*$Q$5</f>
        <v>#DIV/0!</v>
      </c>
      <c r="M44" s="11">
        <f t="shared" si="4"/>
        <v>3456</v>
      </c>
      <c r="N44" s="12" t="e">
        <f>ROUND((((0.68-(0.000015*POWER(M44*$Q$4,2)-0.0022))*(2*Pappe+Eingabe!$P$18+M44*$Q$4)-0.5)*102*PI()/180)/$Q$5,0)*$Q$5</f>
        <v>#DIV/0!</v>
      </c>
    </row>
    <row r="45" spans="1:14" ht="14" customHeight="1">
      <c r="A45" s="11">
        <f t="shared" si="0"/>
        <v>592</v>
      </c>
      <c r="B45" s="12" t="e">
        <f>ROUND((((0.68-(0.000015*POWER(A45*$Q$4,2)-0.0022))*(2*Pappe+Eingabe!$P$18+A45*$Q$4)-0.5)*102*PI()/180)/$Q$5,0)*$Q$5</f>
        <v>#DIV/0!</v>
      </c>
      <c r="D45" s="11">
        <f t="shared" si="1"/>
        <v>1312</v>
      </c>
      <c r="E45" s="12" t="e">
        <f>ROUND((((0.68-(0.000015*POWER(D45*$Q$4,2)-0.0022))*(2*Pappe+Eingabe!$P$18+D45*$Q$4)-0.5)*102*PI()/180)/$Q$5,0)*$Q$5</f>
        <v>#DIV/0!</v>
      </c>
      <c r="G45" s="11">
        <f t="shared" si="2"/>
        <v>2032</v>
      </c>
      <c r="H45" s="12" t="e">
        <f>ROUND((((0.68-(0.000015*POWER(G45*$Q$4,2)-0.0022))*(2*Pappe+Eingabe!$P$18+G45*$Q$4)-0.5)*102*PI()/180)/$Q$5,0)*$Q$5</f>
        <v>#DIV/0!</v>
      </c>
      <c r="J45" s="11">
        <f t="shared" si="3"/>
        <v>2752</v>
      </c>
      <c r="K45" s="12" t="e">
        <f>ROUND((((0.68-(0.000015*POWER(J45*$Q$4,2)-0.0022))*(2*Pappe+Eingabe!$P$18+J45*$Q$4)-0.5)*102*PI()/180)/$Q$5,0)*$Q$5</f>
        <v>#DIV/0!</v>
      </c>
      <c r="M45" s="11">
        <f t="shared" si="4"/>
        <v>3472</v>
      </c>
      <c r="N45" s="12" t="e">
        <f>ROUND((((0.68-(0.000015*POWER(M45*$Q$4,2)-0.0022))*(2*Pappe+Eingabe!$P$18+M45*$Q$4)-0.5)*102*PI()/180)/$Q$5,0)*$Q$5</f>
        <v>#DIV/0!</v>
      </c>
    </row>
    <row r="46" spans="1:14" ht="14" customHeight="1">
      <c r="A46" s="11">
        <f t="shared" si="0"/>
        <v>608</v>
      </c>
      <c r="B46" s="12" t="e">
        <f>ROUND((((0.68-(0.000015*POWER(A46*$Q$4,2)-0.0022))*(2*Pappe+Eingabe!$P$18+A46*$Q$4)-0.5)*102*PI()/180)/$Q$5,0)*$Q$5</f>
        <v>#DIV/0!</v>
      </c>
      <c r="D46" s="11">
        <f t="shared" si="1"/>
        <v>1328</v>
      </c>
      <c r="E46" s="12" t="e">
        <f>ROUND((((0.68-(0.000015*POWER(D46*$Q$4,2)-0.0022))*(2*Pappe+Eingabe!$P$18+D46*$Q$4)-0.5)*102*PI()/180)/$Q$5,0)*$Q$5</f>
        <v>#DIV/0!</v>
      </c>
      <c r="G46" s="11">
        <f t="shared" si="2"/>
        <v>2048</v>
      </c>
      <c r="H46" s="12" t="e">
        <f>ROUND((((0.68-(0.000015*POWER(G46*$Q$4,2)-0.0022))*(2*Pappe+Eingabe!$P$18+G46*$Q$4)-0.5)*102*PI()/180)/$Q$5,0)*$Q$5</f>
        <v>#DIV/0!</v>
      </c>
      <c r="J46" s="11">
        <f t="shared" si="3"/>
        <v>2768</v>
      </c>
      <c r="K46" s="12" t="e">
        <f>ROUND((((0.68-(0.000015*POWER(J46*$Q$4,2)-0.0022))*(2*Pappe+Eingabe!$P$18+J46*$Q$4)-0.5)*102*PI()/180)/$Q$5,0)*$Q$5</f>
        <v>#DIV/0!</v>
      </c>
      <c r="M46" s="11">
        <f t="shared" si="4"/>
        <v>3488</v>
      </c>
      <c r="N46" s="12" t="e">
        <f>ROUND((((0.68-(0.000015*POWER(M46*$Q$4,2)-0.0022))*(2*Pappe+Eingabe!$P$18+M46*$Q$4)-0.5)*102*PI()/180)/$Q$5,0)*$Q$5</f>
        <v>#DIV/0!</v>
      </c>
    </row>
    <row r="47" spans="1:14" ht="14" customHeight="1">
      <c r="A47" s="11">
        <f t="shared" si="0"/>
        <v>624</v>
      </c>
      <c r="B47" s="12" t="e">
        <f>ROUND((((0.68-(0.000015*POWER(A47*$Q$4,2)-0.0022))*(2*Pappe+Eingabe!$P$18+A47*$Q$4)-0.5)*102*PI()/180)/$Q$5,0)*$Q$5</f>
        <v>#DIV/0!</v>
      </c>
      <c r="D47" s="11">
        <f t="shared" si="1"/>
        <v>1344</v>
      </c>
      <c r="E47" s="12" t="e">
        <f>ROUND((((0.68-(0.000015*POWER(D47*$Q$4,2)-0.0022))*(2*Pappe+Eingabe!$P$18+D47*$Q$4)-0.5)*102*PI()/180)/$Q$5,0)*$Q$5</f>
        <v>#DIV/0!</v>
      </c>
      <c r="G47" s="11">
        <f t="shared" si="2"/>
        <v>2064</v>
      </c>
      <c r="H47" s="12" t="e">
        <f>ROUND((((0.68-(0.000015*POWER(G47*$Q$4,2)-0.0022))*(2*Pappe+Eingabe!$P$18+G47*$Q$4)-0.5)*102*PI()/180)/$Q$5,0)*$Q$5</f>
        <v>#DIV/0!</v>
      </c>
      <c r="J47" s="11">
        <f t="shared" si="3"/>
        <v>2784</v>
      </c>
      <c r="K47" s="12" t="e">
        <f>ROUND((((0.68-(0.000015*POWER(J47*$Q$4,2)-0.0022))*(2*Pappe+Eingabe!$P$18+J47*$Q$4)-0.5)*102*PI()/180)/$Q$5,0)*$Q$5</f>
        <v>#DIV/0!</v>
      </c>
      <c r="M47" s="11">
        <f t="shared" si="4"/>
        <v>3504</v>
      </c>
      <c r="N47" s="12" t="e">
        <f>ROUND((((0.68-(0.000015*POWER(M47*$Q$4,2)-0.0022))*(2*Pappe+Eingabe!$P$18+M47*$Q$4)-0.5)*102*PI()/180)/$Q$5,0)*$Q$5</f>
        <v>#DIV/0!</v>
      </c>
    </row>
    <row r="48" spans="1:14" ht="14" customHeight="1">
      <c r="A48" s="11">
        <f t="shared" si="0"/>
        <v>640</v>
      </c>
      <c r="B48" s="12" t="e">
        <f>ROUND((((0.68-(0.000015*POWER(A48*$Q$4,2)-0.0022))*(2*Pappe+Eingabe!$P$18+A48*$Q$4)-0.5)*102*PI()/180)/$Q$5,0)*$Q$5</f>
        <v>#DIV/0!</v>
      </c>
      <c r="D48" s="11">
        <f t="shared" si="1"/>
        <v>1360</v>
      </c>
      <c r="E48" s="12" t="e">
        <f>ROUND((((0.68-(0.000015*POWER(D48*$Q$4,2)-0.0022))*(2*Pappe+Eingabe!$P$18+D48*$Q$4)-0.5)*102*PI()/180)/$Q$5,0)*$Q$5</f>
        <v>#DIV/0!</v>
      </c>
      <c r="G48" s="11">
        <f t="shared" si="2"/>
        <v>2080</v>
      </c>
      <c r="H48" s="12" t="e">
        <f>ROUND((((0.68-(0.000015*POWER(G48*$Q$4,2)-0.0022))*(2*Pappe+Eingabe!$P$18+G48*$Q$4)-0.5)*102*PI()/180)/$Q$5,0)*$Q$5</f>
        <v>#DIV/0!</v>
      </c>
      <c r="J48" s="11">
        <f t="shared" si="3"/>
        <v>2800</v>
      </c>
      <c r="K48" s="12" t="e">
        <f>ROUND((((0.68-(0.000015*POWER(J48*$Q$4,2)-0.0022))*(2*Pappe+Eingabe!$P$18+J48*$Q$4)-0.5)*102*PI()/180)/$Q$5,0)*$Q$5</f>
        <v>#DIV/0!</v>
      </c>
      <c r="M48" s="11">
        <f t="shared" si="4"/>
        <v>3520</v>
      </c>
      <c r="N48" s="12" t="e">
        <f>ROUND((((0.68-(0.000015*POWER(M48*$Q$4,2)-0.0022))*(2*Pappe+Eingabe!$P$18+M48*$Q$4)-0.5)*102*PI()/180)/$Q$5,0)*$Q$5</f>
        <v>#DIV/0!</v>
      </c>
    </row>
    <row r="49" spans="1:14" ht="14" customHeight="1">
      <c r="A49" s="11">
        <f t="shared" si="0"/>
        <v>656</v>
      </c>
      <c r="B49" s="12" t="e">
        <f>ROUND((((0.68-(0.000015*POWER(A49*$Q$4,2)-0.0022))*(2*Pappe+Eingabe!$P$18+A49*$Q$4)-0.5)*102*PI()/180)/$Q$5,0)*$Q$5</f>
        <v>#DIV/0!</v>
      </c>
      <c r="D49" s="11">
        <f t="shared" si="1"/>
        <v>1376</v>
      </c>
      <c r="E49" s="12" t="e">
        <f>ROUND((((0.68-(0.000015*POWER(D49*$Q$4,2)-0.0022))*(2*Pappe+Eingabe!$P$18+D49*$Q$4)-0.5)*102*PI()/180)/$Q$5,0)*$Q$5</f>
        <v>#DIV/0!</v>
      </c>
      <c r="G49" s="11">
        <f t="shared" si="2"/>
        <v>2096</v>
      </c>
      <c r="H49" s="12" t="e">
        <f>ROUND((((0.68-(0.000015*POWER(G49*$Q$4,2)-0.0022))*(2*Pappe+Eingabe!$P$18+G49*$Q$4)-0.5)*102*PI()/180)/$Q$5,0)*$Q$5</f>
        <v>#DIV/0!</v>
      </c>
      <c r="J49" s="11">
        <f t="shared" si="3"/>
        <v>2816</v>
      </c>
      <c r="K49" s="12" t="e">
        <f>ROUND((((0.68-(0.000015*POWER(J49*$Q$4,2)-0.0022))*(2*Pappe+Eingabe!$P$18+J49*$Q$4)-0.5)*102*PI()/180)/$Q$5,0)*$Q$5</f>
        <v>#DIV/0!</v>
      </c>
      <c r="M49" s="11">
        <f t="shared" si="4"/>
        <v>3536</v>
      </c>
      <c r="N49" s="12" t="e">
        <f>ROUND((((0.68-(0.000015*POWER(M49*$Q$4,2)-0.0022))*(2*Pappe+Eingabe!$P$18+M49*$Q$4)-0.5)*102*PI()/180)/$Q$5,0)*$Q$5</f>
        <v>#DIV/0!</v>
      </c>
    </row>
    <row r="50" spans="1:14" ht="14" customHeight="1">
      <c r="A50" s="11">
        <f t="shared" si="0"/>
        <v>672</v>
      </c>
      <c r="B50" s="12" t="e">
        <f>ROUND((((0.68-(0.000015*POWER(A50*$Q$4,2)-0.0022))*(2*Pappe+Eingabe!$P$18+A50*$Q$4)-0.5)*102*PI()/180)/$Q$5,0)*$Q$5</f>
        <v>#DIV/0!</v>
      </c>
      <c r="D50" s="11">
        <f t="shared" si="1"/>
        <v>1392</v>
      </c>
      <c r="E50" s="12" t="e">
        <f>ROUND((((0.68-(0.000015*POWER(D50*$Q$4,2)-0.0022))*(2*Pappe+Eingabe!$P$18+D50*$Q$4)-0.5)*102*PI()/180)/$Q$5,0)*$Q$5</f>
        <v>#DIV/0!</v>
      </c>
      <c r="G50" s="11">
        <f t="shared" si="2"/>
        <v>2112</v>
      </c>
      <c r="H50" s="12" t="e">
        <f>ROUND((((0.68-(0.000015*POWER(G50*$Q$4,2)-0.0022))*(2*Pappe+Eingabe!$P$18+G50*$Q$4)-0.5)*102*PI()/180)/$Q$5,0)*$Q$5</f>
        <v>#DIV/0!</v>
      </c>
      <c r="J50" s="11">
        <f t="shared" si="3"/>
        <v>2832</v>
      </c>
      <c r="K50" s="12" t="e">
        <f>ROUND((((0.68-(0.000015*POWER(J50*$Q$4,2)-0.0022))*(2*Pappe+Eingabe!$P$18+J50*$Q$4)-0.5)*102*PI()/180)/$Q$5,0)*$Q$5</f>
        <v>#DIV/0!</v>
      </c>
      <c r="M50" s="11">
        <f t="shared" si="4"/>
        <v>3552</v>
      </c>
      <c r="N50" s="12" t="e">
        <f>ROUND((((0.68-(0.000015*POWER(M50*$Q$4,2)-0.0022))*(2*Pappe+Eingabe!$P$18+M50*$Q$4)-0.5)*102*PI()/180)/$Q$5,0)*$Q$5</f>
        <v>#DIV/0!</v>
      </c>
    </row>
    <row r="51" spans="1:14" ht="14" customHeight="1">
      <c r="A51" s="11">
        <f t="shared" si="0"/>
        <v>688</v>
      </c>
      <c r="B51" s="12" t="e">
        <f>ROUND((((0.68-(0.000015*POWER(A51*$Q$4,2)-0.0022))*(2*Pappe+Eingabe!$P$18+A51*$Q$4)-0.5)*102*PI()/180)/$Q$5,0)*$Q$5</f>
        <v>#DIV/0!</v>
      </c>
      <c r="D51" s="11">
        <f t="shared" si="1"/>
        <v>1408</v>
      </c>
      <c r="E51" s="12" t="e">
        <f>ROUND((((0.68-(0.000015*POWER(D51*$Q$4,2)-0.0022))*(2*Pappe+Eingabe!$P$18+D51*$Q$4)-0.5)*102*PI()/180)/$Q$5,0)*$Q$5</f>
        <v>#DIV/0!</v>
      </c>
      <c r="G51" s="11">
        <f t="shared" si="2"/>
        <v>2128</v>
      </c>
      <c r="H51" s="12" t="e">
        <f>ROUND((((0.68-(0.000015*POWER(G51*$Q$4,2)-0.0022))*(2*Pappe+Eingabe!$P$18+G51*$Q$4)-0.5)*102*PI()/180)/$Q$5,0)*$Q$5</f>
        <v>#DIV/0!</v>
      </c>
      <c r="J51" s="11">
        <f t="shared" si="3"/>
        <v>2848</v>
      </c>
      <c r="K51" s="12" t="e">
        <f>ROUND((((0.68-(0.000015*POWER(J51*$Q$4,2)-0.0022))*(2*Pappe+Eingabe!$P$18+J51*$Q$4)-0.5)*102*PI()/180)/$Q$5,0)*$Q$5</f>
        <v>#DIV/0!</v>
      </c>
      <c r="M51" s="11">
        <f t="shared" si="4"/>
        <v>3568</v>
      </c>
      <c r="N51" s="12" t="e">
        <f>ROUND((((0.68-(0.000015*POWER(M51*$Q$4,2)-0.0022))*(2*Pappe+Eingabe!$P$18+M51*$Q$4)-0.5)*102*PI()/180)/$Q$5,0)*$Q$5</f>
        <v>#DIV/0!</v>
      </c>
    </row>
    <row r="52" spans="1:14" ht="14" customHeight="1">
      <c r="A52" s="11">
        <f t="shared" si="0"/>
        <v>704</v>
      </c>
      <c r="B52" s="12" t="e">
        <f>ROUND((((0.68-(0.000015*POWER(A52*$Q$4,2)-0.0022))*(2*Pappe+Eingabe!$P$18+A52*$Q$4)-0.5)*102*PI()/180)/$Q$5,0)*$Q$5</f>
        <v>#DIV/0!</v>
      </c>
      <c r="D52" s="11">
        <f t="shared" si="1"/>
        <v>1424</v>
      </c>
      <c r="E52" s="12" t="e">
        <f>ROUND((((0.68-(0.000015*POWER(D52*$Q$4,2)-0.0022))*(2*Pappe+Eingabe!$P$18+D52*$Q$4)-0.5)*102*PI()/180)/$Q$5,0)*$Q$5</f>
        <v>#DIV/0!</v>
      </c>
      <c r="G52" s="11">
        <f t="shared" si="2"/>
        <v>2144</v>
      </c>
      <c r="H52" s="12" t="e">
        <f>ROUND((((0.68-(0.000015*POWER(G52*$Q$4,2)-0.0022))*(2*Pappe+Eingabe!$P$18+G52*$Q$4)-0.5)*102*PI()/180)/$Q$5,0)*$Q$5</f>
        <v>#DIV/0!</v>
      </c>
      <c r="J52" s="11">
        <f t="shared" si="3"/>
        <v>2864</v>
      </c>
      <c r="K52" s="12" t="e">
        <f>ROUND((((0.68-(0.000015*POWER(J52*$Q$4,2)-0.0022))*(2*Pappe+Eingabe!$P$18+J52*$Q$4)-0.5)*102*PI()/180)/$Q$5,0)*$Q$5</f>
        <v>#DIV/0!</v>
      </c>
      <c r="M52" s="11">
        <f t="shared" si="4"/>
        <v>3584</v>
      </c>
      <c r="N52" s="12" t="e">
        <f>ROUND((((0.68-(0.000015*POWER(M52*$Q$4,2)-0.0022))*(2*Pappe+Eingabe!$P$18+M52*$Q$4)-0.5)*102*PI()/180)/$Q$5,0)*$Q$5</f>
        <v>#DIV/0!</v>
      </c>
    </row>
    <row r="53" spans="1:14" ht="14" customHeight="1">
      <c r="A53" s="11">
        <f t="shared" si="0"/>
        <v>720</v>
      </c>
      <c r="B53" s="12" t="e">
        <f>ROUND((((0.68-(0.000015*POWER(A53*$Q$4,2)-0.0022))*(2*Pappe+Eingabe!$P$18+A53*$Q$4)-0.5)*102*PI()/180)/$Q$5,0)*$Q$5</f>
        <v>#DIV/0!</v>
      </c>
      <c r="D53" s="11">
        <f t="shared" si="1"/>
        <v>1440</v>
      </c>
      <c r="E53" s="12" t="e">
        <f>ROUND((((0.68-(0.000015*POWER(D53*$Q$4,2)-0.0022))*(2*Pappe+Eingabe!$P$18+D53*$Q$4)-0.5)*102*PI()/180)/$Q$5,0)*$Q$5</f>
        <v>#DIV/0!</v>
      </c>
      <c r="G53" s="11">
        <f t="shared" si="2"/>
        <v>2160</v>
      </c>
      <c r="H53" s="12" t="e">
        <f>ROUND((((0.68-(0.000015*POWER(G53*$Q$4,2)-0.0022))*(2*Pappe+Eingabe!$P$18+G53*$Q$4)-0.5)*102*PI()/180)/$Q$5,0)*$Q$5</f>
        <v>#DIV/0!</v>
      </c>
      <c r="J53" s="11">
        <f t="shared" si="3"/>
        <v>2880</v>
      </c>
      <c r="K53" s="12" t="e">
        <f>ROUND((((0.68-(0.000015*POWER(J53*$Q$4,2)-0.0022))*(2*Pappe+Eingabe!$P$18+J53*$Q$4)-0.5)*102*PI()/180)/$Q$5,0)*$Q$5</f>
        <v>#DIV/0!</v>
      </c>
      <c r="M53" s="11">
        <f t="shared" si="4"/>
        <v>3600</v>
      </c>
      <c r="N53" s="12" t="e">
        <f>ROUND((((0.68-(0.000015*POWER(M53*$Q$4,2)-0.0022))*(2*Pappe+Eingabe!$P$18+M53*$Q$4)-0.5)*102*PI()/180)/$Q$5,0)*$Q$5</f>
        <v>#DIV/0!</v>
      </c>
    </row>
    <row r="55" spans="1:14">
      <c r="A55" s="13" t="str">
        <f ca="1">CONCATENATE(txtSchrenzbreite," in mm")</f>
        <v>Schrenzbreite in mm</v>
      </c>
    </row>
  </sheetData>
  <sheetProtection sheet="1" objects="1" scenarios="1" selectLockedCells="1"/>
  <mergeCells count="1">
    <mergeCell ref="E2:G2"/>
  </mergeCells>
  <phoneticPr fontId="7" type="noConversion"/>
  <conditionalFormatting sqref="A9 A52:A53 D52:D53 G52:G53 M52:M53">
    <cfRule type="expression" dxfId="26" priority="11" stopIfTrue="1">
      <formula>3&gt;B9</formula>
    </cfRule>
    <cfRule type="expression" dxfId="25" priority="12" stopIfTrue="1">
      <formula>65&lt;B9</formula>
    </cfRule>
  </conditionalFormatting>
  <conditionalFormatting sqref="B52:B53 E52:E53 H52:H53 N52:N53">
    <cfRule type="cellIs" dxfId="24" priority="13" stopIfTrue="1" operator="notBetween">
      <formula>3</formula>
      <formula>65</formula>
    </cfRule>
  </conditionalFormatting>
  <conditionalFormatting sqref="B9">
    <cfRule type="cellIs" dxfId="23" priority="14" stopIfTrue="1" operator="notBetween">
      <formula>3</formula>
      <formula>65</formula>
    </cfRule>
    <cfRule type="cellIs" dxfId="22" priority="15" stopIfTrue="1" operator="greaterThanOrEqual">
      <formula>"b9"</formula>
    </cfRule>
  </conditionalFormatting>
  <conditionalFormatting sqref="H10:H51 B10:B51 E10:E51 K10:K51 N10:N51">
    <cfRule type="cellIs" dxfId="21" priority="16" stopIfTrue="1" operator="notBetween">
      <formula>3</formula>
      <formula>65</formula>
    </cfRule>
    <cfRule type="cellIs" dxfId="20" priority="17" stopIfTrue="1" operator="lessThan">
      <formula>B9</formula>
    </cfRule>
  </conditionalFormatting>
  <conditionalFormatting sqref="E9 H9 K9 N9">
    <cfRule type="cellIs" dxfId="19" priority="18" stopIfTrue="1" operator="notBetween">
      <formula>3</formula>
      <formula>65</formula>
    </cfRule>
    <cfRule type="cellIs" dxfId="18" priority="19" stopIfTrue="1" operator="lessThan">
      <formula>B51</formula>
    </cfRule>
  </conditionalFormatting>
  <conditionalFormatting sqref="G10:G51 A10:A51 D10:D51 J10:J51 M10:M51">
    <cfRule type="expression" dxfId="17" priority="20" stopIfTrue="1">
      <formula>3&gt;B10</formula>
    </cfRule>
    <cfRule type="expression" dxfId="16" priority="21" stopIfTrue="1">
      <formula>65&lt;B10</formula>
    </cfRule>
    <cfRule type="expression" dxfId="15" priority="22" stopIfTrue="1">
      <formula>B10&lt;B9</formula>
    </cfRule>
  </conditionalFormatting>
  <conditionalFormatting sqref="D9 G9 J9 M9">
    <cfRule type="expression" dxfId="14" priority="23" stopIfTrue="1">
      <formula>3&gt;E9</formula>
    </cfRule>
    <cfRule type="expression" dxfId="13" priority="24" stopIfTrue="1">
      <formula>65&lt;E9</formula>
    </cfRule>
  </conditionalFormatting>
  <conditionalFormatting sqref="K52">
    <cfRule type="cellIs" dxfId="12" priority="6" stopIfTrue="1" operator="notBetween">
      <formula>3</formula>
      <formula>65</formula>
    </cfRule>
    <cfRule type="cellIs" dxfId="11" priority="7" stopIfTrue="1" operator="lessThan">
      <formula>K51</formula>
    </cfRule>
  </conditionalFormatting>
  <conditionalFormatting sqref="J52">
    <cfRule type="expression" dxfId="10" priority="8" stopIfTrue="1">
      <formula>3&gt;K52</formula>
    </cfRule>
    <cfRule type="expression" dxfId="9" priority="9" stopIfTrue="1">
      <formula>65&lt;K52</formula>
    </cfRule>
    <cfRule type="expression" dxfId="8" priority="10" stopIfTrue="1">
      <formula>K52&lt;K51</formula>
    </cfRule>
  </conditionalFormatting>
  <conditionalFormatting sqref="K53">
    <cfRule type="cellIs" dxfId="7" priority="1" stopIfTrue="1" operator="notBetween">
      <formula>3</formula>
      <formula>65</formula>
    </cfRule>
    <cfRule type="cellIs" dxfId="6" priority="2" stopIfTrue="1" operator="lessThan">
      <formula>K52</formula>
    </cfRule>
  </conditionalFormatting>
  <conditionalFormatting sqref="J53">
    <cfRule type="expression" dxfId="5" priority="3" stopIfTrue="1">
      <formula>3&gt;K53</formula>
    </cfRule>
    <cfRule type="expression" dxfId="4" priority="4" stopIfTrue="1">
      <formula>65&lt;K53</formula>
    </cfRule>
    <cfRule type="expression" dxfId="3" priority="5" stopIfTrue="1">
      <formula>K53&lt;K52</formula>
    </cfRule>
  </conditionalFormatting>
  <dataValidations count="2">
    <dataValidation type="list" allowBlank="1" showInputMessage="1" showErrorMessage="1" sqref="Q5">
      <formula1>"0,1,0,5"</formula1>
    </dataValidation>
    <dataValidation type="list" allowBlank="1" showInputMessage="1" showErrorMessage="1" sqref="E2:G2">
      <formula1>"16 (Standard),12 (Quantum),8 (Quantum)"</formula1>
    </dataValidation>
  </dataValidations>
  <pageMargins left="0.78740157480314965" right="0.39370078740157483" top="0.51181102362204722" bottom="0.82677165354330717" header="0.51181102362204722" footer="0.51181102362204722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workbookViewId="0">
      <selection activeCell="E2" sqref="E2:G2"/>
    </sheetView>
  </sheetViews>
  <sheetFormatPr baseColWidth="10" defaultColWidth="10.83203125" defaultRowHeight="13" x14ac:dyDescent="0"/>
  <cols>
    <col min="1" max="2" width="7.6640625" style="6" customWidth="1"/>
    <col min="3" max="3" width="2.6640625" style="6" customWidth="1"/>
    <col min="4" max="5" width="7.6640625" style="6" customWidth="1"/>
    <col min="6" max="6" width="2.6640625" style="6" customWidth="1"/>
    <col min="7" max="8" width="7.6640625" style="6" customWidth="1"/>
    <col min="9" max="9" width="2.6640625" style="6" customWidth="1"/>
    <col min="10" max="11" width="7.6640625" style="6" customWidth="1"/>
    <col min="12" max="12" width="2.6640625" style="6" customWidth="1"/>
    <col min="13" max="14" width="7.6640625" style="6" customWidth="1"/>
    <col min="15" max="15" width="7.6640625" style="6" hidden="1" customWidth="1"/>
    <col min="16" max="20" width="11.5" style="16" hidden="1" customWidth="1"/>
    <col min="21" max="26" width="11.5" style="6" hidden="1" customWidth="1"/>
    <col min="27" max="16384" width="10.83203125" style="6"/>
  </cols>
  <sheetData>
    <row r="1" spans="1:20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P1" s="6"/>
      <c r="Q1" s="6"/>
      <c r="R1" s="6"/>
      <c r="S1" s="6"/>
      <c r="T1" s="6"/>
    </row>
    <row r="2" spans="1:20" ht="19.5" customHeight="1">
      <c r="A2" s="109" t="str">
        <f ca="1">CONCATENATE(txtSchrittweite_in_Seiten,":")</f>
        <v>Schrittweite_in_Seiten:</v>
      </c>
      <c r="B2" s="109"/>
      <c r="C2" s="100"/>
      <c r="D2" s="100"/>
      <c r="E2" s="165" t="s">
        <v>69</v>
      </c>
      <c r="F2" s="166"/>
      <c r="G2" s="166"/>
      <c r="H2" s="100"/>
      <c r="I2" s="100"/>
      <c r="J2" s="100"/>
      <c r="K2" s="100"/>
      <c r="L2" s="100"/>
      <c r="M2" s="100"/>
      <c r="N2" s="100"/>
      <c r="P2" s="6">
        <f>IF(E2="16 (Standard)",16,IF(E2="12 (Quantum)",12,8))</f>
        <v>16</v>
      </c>
      <c r="R2" s="6"/>
      <c r="S2" s="6"/>
      <c r="T2" s="6"/>
    </row>
    <row r="3" spans="1:20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P3" s="6"/>
      <c r="Q3" s="6"/>
      <c r="R3" s="6"/>
      <c r="S3" s="6"/>
      <c r="T3" s="6"/>
    </row>
    <row r="4" spans="1:20" s="8" customFormat="1" ht="24" customHeight="1">
      <c r="A4" s="116" t="str">
        <f ca="1">CONCATENATE(txtText,":")</f>
        <v>Text:</v>
      </c>
      <c r="C4" s="27" t="str">
        <f>strPapier</f>
        <v xml:space="preserve"> g/m²  fach</v>
      </c>
      <c r="D4" s="23"/>
      <c r="E4" s="23"/>
      <c r="F4" s="23"/>
      <c r="G4" s="23"/>
      <c r="H4" s="23"/>
      <c r="I4" s="23"/>
      <c r="J4" s="23"/>
      <c r="K4" s="23"/>
      <c r="P4" s="16" t="s">
        <v>70</v>
      </c>
      <c r="Q4" s="16" t="e">
        <f>Eingabe!P12/Eingabe!B12</f>
        <v>#DIV/0!</v>
      </c>
      <c r="R4" s="16"/>
      <c r="S4" s="16" t="s">
        <v>71</v>
      </c>
      <c r="T4" s="16" t="e">
        <f>Q4*2</f>
        <v>#DIV/0!</v>
      </c>
    </row>
    <row r="5" spans="1:20" s="8" customFormat="1" ht="24" customHeight="1">
      <c r="A5" s="116" t="str">
        <f ca="1">CONCATENATE(txtVorsatz,":")</f>
        <v>Vorsatz:</v>
      </c>
      <c r="C5" s="24" t="str">
        <f>strVorsatz</f>
        <v xml:space="preserve"> g/m²  fach</v>
      </c>
      <c r="D5" s="23"/>
      <c r="E5" s="23"/>
      <c r="F5" s="23"/>
      <c r="G5" s="23"/>
      <c r="H5" s="23"/>
      <c r="I5" s="23"/>
      <c r="J5" s="23"/>
      <c r="K5" s="23"/>
      <c r="P5" s="15" t="s">
        <v>72</v>
      </c>
      <c r="Q5" s="14">
        <v>0.5</v>
      </c>
      <c r="R5" s="17"/>
      <c r="S5" s="17"/>
      <c r="T5" s="17"/>
    </row>
    <row r="6" spans="1:20" s="8" customFormat="1" ht="24" customHeight="1">
      <c r="A6" s="116" t="str">
        <f ca="1">CONCATENATE(txtPappe,":")</f>
        <v>Pappe:</v>
      </c>
      <c r="C6" s="24" t="str">
        <f>strPappe</f>
        <v>1,5 mm</v>
      </c>
      <c r="D6" s="23"/>
      <c r="E6" s="23"/>
      <c r="F6" s="23"/>
      <c r="G6" s="116" t="s">
        <v>73</v>
      </c>
      <c r="H6" s="22" t="str">
        <f ca="1">txtgerade</f>
        <v>gerade</v>
      </c>
      <c r="P6" s="17"/>
      <c r="Q6" s="17"/>
      <c r="R6" s="17"/>
      <c r="S6" s="17"/>
      <c r="T6" s="17"/>
    </row>
    <row r="7" spans="1:20" ht="25.5" customHeight="1">
      <c r="A7" s="116"/>
    </row>
    <row r="8" spans="1:20" ht="14" customHeight="1">
      <c r="A8" s="19" t="str">
        <f ca="1">txtSeiten</f>
        <v>Seiten</v>
      </c>
      <c r="B8" s="20" t="str">
        <f ca="1">txtRücken</f>
        <v>Rücken</v>
      </c>
      <c r="C8" s="21"/>
      <c r="D8" s="19" t="str">
        <f ca="1">A8</f>
        <v>Seiten</v>
      </c>
      <c r="E8" s="20" t="str">
        <f ca="1">B8</f>
        <v>Rücken</v>
      </c>
      <c r="F8" s="21"/>
      <c r="G8" s="19" t="str">
        <f ca="1">A8</f>
        <v>Seiten</v>
      </c>
      <c r="H8" s="20" t="str">
        <f ca="1">B8</f>
        <v>Rücken</v>
      </c>
      <c r="I8" s="21"/>
      <c r="J8" s="19" t="str">
        <f ca="1">A8</f>
        <v>Seiten</v>
      </c>
      <c r="K8" s="20" t="str">
        <f ca="1">B8</f>
        <v>Rücken</v>
      </c>
      <c r="L8" s="21"/>
      <c r="M8" s="19" t="str">
        <f ca="1">A8</f>
        <v>Seiten</v>
      </c>
      <c r="N8" s="20" t="str">
        <f ca="1">B8</f>
        <v>Rücken</v>
      </c>
    </row>
    <row r="9" spans="1:20" ht="14" customHeight="1">
      <c r="A9" s="11">
        <f>P2</f>
        <v>16</v>
      </c>
      <c r="B9" s="12" t="e">
        <f>ROUND((2*Pappe+Eingabe!$P$18+A9*$Q$4)/$Q$5,0)*$Q$5</f>
        <v>#DIV/0!</v>
      </c>
      <c r="D9" s="11">
        <f>A53+$P$2</f>
        <v>736</v>
      </c>
      <c r="E9" s="12" t="e">
        <f>ROUND((2*Pappe+Eingabe!$P$18+D9*$Q$4)/$Q$5,0)*$Q$5</f>
        <v>#DIV/0!</v>
      </c>
      <c r="G9" s="11">
        <f>D53+$P$2</f>
        <v>1456</v>
      </c>
      <c r="H9" s="12" t="e">
        <f>ROUND((2*Pappe+Eingabe!$P$18+G9*$Q$4)/$Q$5,0)*$Q$5</f>
        <v>#DIV/0!</v>
      </c>
      <c r="J9" s="11">
        <f>G53+$P$2</f>
        <v>2176</v>
      </c>
      <c r="K9" s="12" t="e">
        <f>ROUND((2*Pappe+Eingabe!$P$18+J9*$Q$4)/$Q$5,0)*$Q$5</f>
        <v>#DIV/0!</v>
      </c>
      <c r="M9" s="11">
        <f>J53+$P$2</f>
        <v>2896</v>
      </c>
      <c r="N9" s="12" t="e">
        <f>ROUND((2*Pappe+Eingabe!$P$18+M9*$Q$4)/$Q$5,0)*$Q$5</f>
        <v>#DIV/0!</v>
      </c>
    </row>
    <row r="10" spans="1:20" ht="14" customHeight="1">
      <c r="A10" s="11">
        <f t="shared" ref="A10:A53" si="0">A9+$P$2</f>
        <v>32</v>
      </c>
      <c r="B10" s="12" t="e">
        <f>ROUND((2*Pappe+Eingabe!$P$18+A10*$Q$4)/$Q$5,0)*$Q$5</f>
        <v>#DIV/0!</v>
      </c>
      <c r="D10" s="11">
        <f t="shared" ref="D10:D53" si="1">D9+$P$2</f>
        <v>752</v>
      </c>
      <c r="E10" s="12" t="e">
        <f>ROUND((2*Pappe+Eingabe!$P$18+D10*$Q$4)/$Q$5,0)*$Q$5</f>
        <v>#DIV/0!</v>
      </c>
      <c r="G10" s="11">
        <f t="shared" ref="G10:G53" si="2">G9+$P$2</f>
        <v>1472</v>
      </c>
      <c r="H10" s="12" t="e">
        <f>ROUND((2*Pappe+Eingabe!$P$18+G10*$Q$4)/$Q$5,0)*$Q$5</f>
        <v>#DIV/0!</v>
      </c>
      <c r="J10" s="11">
        <f t="shared" ref="J10:J53" si="3">J9+$P$2</f>
        <v>2192</v>
      </c>
      <c r="K10" s="12" t="e">
        <f>ROUND((2*Pappe+Eingabe!$P$18+J10*$Q$4)/$Q$5,0)*$Q$5</f>
        <v>#DIV/0!</v>
      </c>
      <c r="M10" s="11">
        <f t="shared" ref="M10:M53" si="4">M9+$P$2</f>
        <v>2912</v>
      </c>
      <c r="N10" s="12" t="e">
        <f>ROUND((2*Pappe+Eingabe!$P$18+M10*$Q$4)/$Q$5,0)*$Q$5</f>
        <v>#DIV/0!</v>
      </c>
    </row>
    <row r="11" spans="1:20" ht="14" customHeight="1">
      <c r="A11" s="11">
        <f t="shared" si="0"/>
        <v>48</v>
      </c>
      <c r="B11" s="12" t="e">
        <f>ROUND((2*Pappe+Eingabe!$P$18+A11*$Q$4)/$Q$5,0)*$Q$5</f>
        <v>#DIV/0!</v>
      </c>
      <c r="D11" s="11">
        <f t="shared" si="1"/>
        <v>768</v>
      </c>
      <c r="E11" s="12" t="e">
        <f>ROUND((2*Pappe+Eingabe!$P$18+D11*$Q$4)/$Q$5,0)*$Q$5</f>
        <v>#DIV/0!</v>
      </c>
      <c r="G11" s="11">
        <f t="shared" si="2"/>
        <v>1488</v>
      </c>
      <c r="H11" s="12" t="e">
        <f>ROUND((2*Pappe+Eingabe!$P$18+G11*$Q$4)/$Q$5,0)*$Q$5</f>
        <v>#DIV/0!</v>
      </c>
      <c r="J11" s="11">
        <f t="shared" si="3"/>
        <v>2208</v>
      </c>
      <c r="K11" s="12" t="e">
        <f>ROUND((2*Pappe+Eingabe!$P$18+J11*$Q$4)/$Q$5,0)*$Q$5</f>
        <v>#DIV/0!</v>
      </c>
      <c r="M11" s="11">
        <f t="shared" si="4"/>
        <v>2928</v>
      </c>
      <c r="N11" s="12" t="e">
        <f>ROUND((2*Pappe+Eingabe!$P$18+M11*$Q$4)/$Q$5,0)*$Q$5</f>
        <v>#DIV/0!</v>
      </c>
    </row>
    <row r="12" spans="1:20" ht="14" customHeight="1">
      <c r="A12" s="11">
        <f t="shared" si="0"/>
        <v>64</v>
      </c>
      <c r="B12" s="12" t="e">
        <f>ROUND((2*Pappe+Eingabe!$P$18+A12*$Q$4)/$Q$5,0)*$Q$5</f>
        <v>#DIV/0!</v>
      </c>
      <c r="D12" s="11">
        <f t="shared" si="1"/>
        <v>784</v>
      </c>
      <c r="E12" s="12" t="e">
        <f>ROUND((2*Pappe+Eingabe!$P$18+D12*$Q$4)/$Q$5,0)*$Q$5</f>
        <v>#DIV/0!</v>
      </c>
      <c r="G12" s="11">
        <f t="shared" si="2"/>
        <v>1504</v>
      </c>
      <c r="H12" s="12" t="e">
        <f>ROUND((2*Pappe+Eingabe!$P$18+G12*$Q$4)/$Q$5,0)*$Q$5</f>
        <v>#DIV/0!</v>
      </c>
      <c r="J12" s="11">
        <f t="shared" si="3"/>
        <v>2224</v>
      </c>
      <c r="K12" s="12" t="e">
        <f>ROUND((2*Pappe+Eingabe!$P$18+J12*$Q$4)/$Q$5,0)*$Q$5</f>
        <v>#DIV/0!</v>
      </c>
      <c r="M12" s="11">
        <f t="shared" si="4"/>
        <v>2944</v>
      </c>
      <c r="N12" s="12" t="e">
        <f>ROUND((2*Pappe+Eingabe!$P$18+M12*$Q$4)/$Q$5,0)*$Q$5</f>
        <v>#DIV/0!</v>
      </c>
    </row>
    <row r="13" spans="1:20" ht="14" customHeight="1">
      <c r="A13" s="11">
        <f t="shared" si="0"/>
        <v>80</v>
      </c>
      <c r="B13" s="12" t="e">
        <f>ROUND((2*Pappe+Eingabe!$P$18+A13*$Q$4)/$Q$5,0)*$Q$5</f>
        <v>#DIV/0!</v>
      </c>
      <c r="D13" s="11">
        <f t="shared" si="1"/>
        <v>800</v>
      </c>
      <c r="E13" s="12" t="e">
        <f>ROUND((2*Pappe+Eingabe!$P$18+D13*$Q$4)/$Q$5,0)*$Q$5</f>
        <v>#DIV/0!</v>
      </c>
      <c r="G13" s="11">
        <f t="shared" si="2"/>
        <v>1520</v>
      </c>
      <c r="H13" s="12" t="e">
        <f>ROUND((2*Pappe+Eingabe!$P$18+G13*$Q$4)/$Q$5,0)*$Q$5</f>
        <v>#DIV/0!</v>
      </c>
      <c r="J13" s="11">
        <f t="shared" si="3"/>
        <v>2240</v>
      </c>
      <c r="K13" s="12" t="e">
        <f>ROUND((2*Pappe+Eingabe!$P$18+J13*$Q$4)/$Q$5,0)*$Q$5</f>
        <v>#DIV/0!</v>
      </c>
      <c r="M13" s="11">
        <f t="shared" si="4"/>
        <v>2960</v>
      </c>
      <c r="N13" s="12" t="e">
        <f>ROUND((2*Pappe+Eingabe!$P$18+M13*$Q$4)/$Q$5,0)*$Q$5</f>
        <v>#DIV/0!</v>
      </c>
    </row>
    <row r="14" spans="1:20" ht="14" customHeight="1">
      <c r="A14" s="11">
        <f t="shared" si="0"/>
        <v>96</v>
      </c>
      <c r="B14" s="12" t="e">
        <f>ROUND((2*Pappe+Eingabe!$P$18+A14*$Q$4)/$Q$5,0)*$Q$5</f>
        <v>#DIV/0!</v>
      </c>
      <c r="D14" s="11">
        <f t="shared" si="1"/>
        <v>816</v>
      </c>
      <c r="E14" s="12" t="e">
        <f>ROUND((2*Pappe+Eingabe!$P$18+D14*$Q$4)/$Q$5,0)*$Q$5</f>
        <v>#DIV/0!</v>
      </c>
      <c r="G14" s="11">
        <f t="shared" si="2"/>
        <v>1536</v>
      </c>
      <c r="H14" s="12" t="e">
        <f>ROUND((2*Pappe+Eingabe!$P$18+G14*$Q$4)/$Q$5,0)*$Q$5</f>
        <v>#DIV/0!</v>
      </c>
      <c r="J14" s="11">
        <f t="shared" si="3"/>
        <v>2256</v>
      </c>
      <c r="K14" s="12" t="e">
        <f>ROUND((2*Pappe+Eingabe!$P$18+J14*$Q$4)/$Q$5,0)*$Q$5</f>
        <v>#DIV/0!</v>
      </c>
      <c r="M14" s="11">
        <f t="shared" si="4"/>
        <v>2976</v>
      </c>
      <c r="N14" s="12" t="e">
        <f>ROUND((2*Pappe+Eingabe!$P$18+M14*$Q$4)/$Q$5,0)*$Q$5</f>
        <v>#DIV/0!</v>
      </c>
    </row>
    <row r="15" spans="1:20" ht="14" customHeight="1">
      <c r="A15" s="11">
        <f t="shared" si="0"/>
        <v>112</v>
      </c>
      <c r="B15" s="12" t="e">
        <f>ROUND((2*Pappe+Eingabe!$P$18+A15*$Q$4)/$Q$5,0)*$Q$5</f>
        <v>#DIV/0!</v>
      </c>
      <c r="D15" s="11">
        <f t="shared" si="1"/>
        <v>832</v>
      </c>
      <c r="E15" s="12" t="e">
        <f>ROUND((2*Pappe+Eingabe!$P$18+D15*$Q$4)/$Q$5,0)*$Q$5</f>
        <v>#DIV/0!</v>
      </c>
      <c r="G15" s="11">
        <f t="shared" si="2"/>
        <v>1552</v>
      </c>
      <c r="H15" s="12" t="e">
        <f>ROUND((2*Pappe+Eingabe!$P$18+G15*$Q$4)/$Q$5,0)*$Q$5</f>
        <v>#DIV/0!</v>
      </c>
      <c r="J15" s="11">
        <f t="shared" si="3"/>
        <v>2272</v>
      </c>
      <c r="K15" s="12" t="e">
        <f>ROUND((2*Pappe+Eingabe!$P$18+J15*$Q$4)/$Q$5,0)*$Q$5</f>
        <v>#DIV/0!</v>
      </c>
      <c r="M15" s="11">
        <f t="shared" si="4"/>
        <v>2992</v>
      </c>
      <c r="N15" s="12" t="e">
        <f>ROUND((2*Pappe+Eingabe!$P$18+M15*$Q$4)/$Q$5,0)*$Q$5</f>
        <v>#DIV/0!</v>
      </c>
    </row>
    <row r="16" spans="1:20" ht="14" customHeight="1">
      <c r="A16" s="11">
        <f t="shared" si="0"/>
        <v>128</v>
      </c>
      <c r="B16" s="12" t="e">
        <f>ROUND((2*Pappe+Eingabe!$P$18+A16*$Q$4)/$Q$5,0)*$Q$5</f>
        <v>#DIV/0!</v>
      </c>
      <c r="D16" s="11">
        <f t="shared" si="1"/>
        <v>848</v>
      </c>
      <c r="E16" s="12" t="e">
        <f>ROUND((2*Pappe+Eingabe!$P$18+D16*$Q$4)/$Q$5,0)*$Q$5</f>
        <v>#DIV/0!</v>
      </c>
      <c r="G16" s="11">
        <f t="shared" si="2"/>
        <v>1568</v>
      </c>
      <c r="H16" s="12" t="e">
        <f>ROUND((2*Pappe+Eingabe!$P$18+G16*$Q$4)/$Q$5,0)*$Q$5</f>
        <v>#DIV/0!</v>
      </c>
      <c r="J16" s="11">
        <f t="shared" si="3"/>
        <v>2288</v>
      </c>
      <c r="K16" s="12" t="e">
        <f>ROUND((2*Pappe+Eingabe!$P$18+J16*$Q$4)/$Q$5,0)*$Q$5</f>
        <v>#DIV/0!</v>
      </c>
      <c r="M16" s="11">
        <f t="shared" si="4"/>
        <v>3008</v>
      </c>
      <c r="N16" s="12" t="e">
        <f>ROUND((2*Pappe+Eingabe!$P$18+M16*$Q$4)/$Q$5,0)*$Q$5</f>
        <v>#DIV/0!</v>
      </c>
    </row>
    <row r="17" spans="1:14" ht="14" customHeight="1">
      <c r="A17" s="11">
        <f t="shared" si="0"/>
        <v>144</v>
      </c>
      <c r="B17" s="12" t="e">
        <f>ROUND((2*Pappe+Eingabe!$P$18+A17*$Q$4)/$Q$5,0)*$Q$5</f>
        <v>#DIV/0!</v>
      </c>
      <c r="D17" s="11">
        <f t="shared" si="1"/>
        <v>864</v>
      </c>
      <c r="E17" s="12" t="e">
        <f>ROUND((2*Pappe+Eingabe!$P$18+D17*$Q$4)/$Q$5,0)*$Q$5</f>
        <v>#DIV/0!</v>
      </c>
      <c r="G17" s="11">
        <f t="shared" si="2"/>
        <v>1584</v>
      </c>
      <c r="H17" s="12" t="e">
        <f>ROUND((2*Pappe+Eingabe!$P$18+G17*$Q$4)/$Q$5,0)*$Q$5</f>
        <v>#DIV/0!</v>
      </c>
      <c r="J17" s="11">
        <f t="shared" si="3"/>
        <v>2304</v>
      </c>
      <c r="K17" s="12" t="e">
        <f>ROUND((2*Pappe+Eingabe!$P$18+J17*$Q$4)/$Q$5,0)*$Q$5</f>
        <v>#DIV/0!</v>
      </c>
      <c r="M17" s="11">
        <f t="shared" si="4"/>
        <v>3024</v>
      </c>
      <c r="N17" s="12" t="e">
        <f>ROUND((2*Pappe+Eingabe!$P$18+M17*$Q$4)/$Q$5,0)*$Q$5</f>
        <v>#DIV/0!</v>
      </c>
    </row>
    <row r="18" spans="1:14" ht="14" customHeight="1">
      <c r="A18" s="11">
        <f t="shared" si="0"/>
        <v>160</v>
      </c>
      <c r="B18" s="12" t="e">
        <f>ROUND((2*Pappe+Eingabe!$P$18+A18*$Q$4)/$Q$5,0)*$Q$5</f>
        <v>#DIV/0!</v>
      </c>
      <c r="D18" s="11">
        <f t="shared" si="1"/>
        <v>880</v>
      </c>
      <c r="E18" s="12" t="e">
        <f>ROUND((2*Pappe+Eingabe!$P$18+D18*$Q$4)/$Q$5,0)*$Q$5</f>
        <v>#DIV/0!</v>
      </c>
      <c r="G18" s="11">
        <f t="shared" si="2"/>
        <v>1600</v>
      </c>
      <c r="H18" s="12" t="e">
        <f>ROUND((2*Pappe+Eingabe!$P$18+G18*$Q$4)/$Q$5,0)*$Q$5</f>
        <v>#DIV/0!</v>
      </c>
      <c r="J18" s="11">
        <f t="shared" si="3"/>
        <v>2320</v>
      </c>
      <c r="K18" s="12" t="e">
        <f>ROUND((2*Pappe+Eingabe!$P$18+J18*$Q$4)/$Q$5,0)*$Q$5</f>
        <v>#DIV/0!</v>
      </c>
      <c r="M18" s="11">
        <f t="shared" si="4"/>
        <v>3040</v>
      </c>
      <c r="N18" s="12" t="e">
        <f>ROUND((2*Pappe+Eingabe!$P$18+M18*$Q$4)/$Q$5,0)*$Q$5</f>
        <v>#DIV/0!</v>
      </c>
    </row>
    <row r="19" spans="1:14" ht="14" customHeight="1">
      <c r="A19" s="11">
        <f t="shared" si="0"/>
        <v>176</v>
      </c>
      <c r="B19" s="12" t="e">
        <f>ROUND((2*Pappe+Eingabe!$P$18+A19*$Q$4)/$Q$5,0)*$Q$5</f>
        <v>#DIV/0!</v>
      </c>
      <c r="D19" s="11">
        <f t="shared" si="1"/>
        <v>896</v>
      </c>
      <c r="E19" s="12" t="e">
        <f>ROUND((2*Pappe+Eingabe!$P$18+D19*$Q$4)/$Q$5,0)*$Q$5</f>
        <v>#DIV/0!</v>
      </c>
      <c r="G19" s="11">
        <f t="shared" si="2"/>
        <v>1616</v>
      </c>
      <c r="H19" s="12" t="e">
        <f>ROUND((2*Pappe+Eingabe!$P$18+G19*$Q$4)/$Q$5,0)*$Q$5</f>
        <v>#DIV/0!</v>
      </c>
      <c r="J19" s="11">
        <f t="shared" si="3"/>
        <v>2336</v>
      </c>
      <c r="K19" s="12" t="e">
        <f>ROUND((2*Pappe+Eingabe!$P$18+J19*$Q$4)/$Q$5,0)*$Q$5</f>
        <v>#DIV/0!</v>
      </c>
      <c r="M19" s="11">
        <f t="shared" si="4"/>
        <v>3056</v>
      </c>
      <c r="N19" s="12" t="e">
        <f>ROUND((2*Pappe+Eingabe!$P$18+M19*$Q$4)/$Q$5,0)*$Q$5</f>
        <v>#DIV/0!</v>
      </c>
    </row>
    <row r="20" spans="1:14" ht="14" customHeight="1">
      <c r="A20" s="11">
        <f t="shared" si="0"/>
        <v>192</v>
      </c>
      <c r="B20" s="12" t="e">
        <f>ROUND((2*Pappe+Eingabe!$P$18+A20*$Q$4)/$Q$5,0)*$Q$5</f>
        <v>#DIV/0!</v>
      </c>
      <c r="D20" s="11">
        <f t="shared" si="1"/>
        <v>912</v>
      </c>
      <c r="E20" s="12" t="e">
        <f>ROUND((2*Pappe+Eingabe!$P$18+D20*$Q$4)/$Q$5,0)*$Q$5</f>
        <v>#DIV/0!</v>
      </c>
      <c r="G20" s="11">
        <f t="shared" si="2"/>
        <v>1632</v>
      </c>
      <c r="H20" s="12" t="e">
        <f>ROUND((2*Pappe+Eingabe!$P$18+G20*$Q$4)/$Q$5,0)*$Q$5</f>
        <v>#DIV/0!</v>
      </c>
      <c r="J20" s="11">
        <f t="shared" si="3"/>
        <v>2352</v>
      </c>
      <c r="K20" s="12" t="e">
        <f>ROUND((2*Pappe+Eingabe!$P$18+J20*$Q$4)/$Q$5,0)*$Q$5</f>
        <v>#DIV/0!</v>
      </c>
      <c r="M20" s="11">
        <f t="shared" si="4"/>
        <v>3072</v>
      </c>
      <c r="N20" s="12" t="e">
        <f>ROUND((2*Pappe+Eingabe!$P$18+M20*$Q$4)/$Q$5,0)*$Q$5</f>
        <v>#DIV/0!</v>
      </c>
    </row>
    <row r="21" spans="1:14" ht="14" customHeight="1">
      <c r="A21" s="11">
        <f t="shared" si="0"/>
        <v>208</v>
      </c>
      <c r="B21" s="12" t="e">
        <f>ROUND((2*Pappe+Eingabe!$P$18+A21*$Q$4)/$Q$5,0)*$Q$5</f>
        <v>#DIV/0!</v>
      </c>
      <c r="D21" s="11">
        <f t="shared" si="1"/>
        <v>928</v>
      </c>
      <c r="E21" s="12" t="e">
        <f>ROUND((2*Pappe+Eingabe!$P$18+D21*$Q$4)/$Q$5,0)*$Q$5</f>
        <v>#DIV/0!</v>
      </c>
      <c r="G21" s="11">
        <f t="shared" si="2"/>
        <v>1648</v>
      </c>
      <c r="H21" s="12" t="e">
        <f>ROUND((2*Pappe+Eingabe!$P$18+G21*$Q$4)/$Q$5,0)*$Q$5</f>
        <v>#DIV/0!</v>
      </c>
      <c r="J21" s="11">
        <f t="shared" si="3"/>
        <v>2368</v>
      </c>
      <c r="K21" s="12" t="e">
        <f>ROUND((2*Pappe+Eingabe!$P$18+J21*$Q$4)/$Q$5,0)*$Q$5</f>
        <v>#DIV/0!</v>
      </c>
      <c r="M21" s="11">
        <f t="shared" si="4"/>
        <v>3088</v>
      </c>
      <c r="N21" s="12" t="e">
        <f>ROUND((2*Pappe+Eingabe!$P$18+M21*$Q$4)/$Q$5,0)*$Q$5</f>
        <v>#DIV/0!</v>
      </c>
    </row>
    <row r="22" spans="1:14" ht="14" customHeight="1">
      <c r="A22" s="11">
        <f t="shared" si="0"/>
        <v>224</v>
      </c>
      <c r="B22" s="12" t="e">
        <f>ROUND((2*Pappe+Eingabe!$P$18+A22*$Q$4)/$Q$5,0)*$Q$5</f>
        <v>#DIV/0!</v>
      </c>
      <c r="D22" s="11">
        <f t="shared" si="1"/>
        <v>944</v>
      </c>
      <c r="E22" s="12" t="e">
        <f>ROUND((2*Pappe+Eingabe!$P$18+D22*$Q$4)/$Q$5,0)*$Q$5</f>
        <v>#DIV/0!</v>
      </c>
      <c r="G22" s="11">
        <f t="shared" si="2"/>
        <v>1664</v>
      </c>
      <c r="H22" s="12" t="e">
        <f>ROUND((2*Pappe+Eingabe!$P$18+G22*$Q$4)/$Q$5,0)*$Q$5</f>
        <v>#DIV/0!</v>
      </c>
      <c r="J22" s="11">
        <f t="shared" si="3"/>
        <v>2384</v>
      </c>
      <c r="K22" s="12" t="e">
        <f>ROUND((2*Pappe+Eingabe!$P$18+J22*$Q$4)/$Q$5,0)*$Q$5</f>
        <v>#DIV/0!</v>
      </c>
      <c r="M22" s="11">
        <f t="shared" si="4"/>
        <v>3104</v>
      </c>
      <c r="N22" s="12" t="e">
        <f>ROUND((2*Pappe+Eingabe!$P$18+M22*$Q$4)/$Q$5,0)*$Q$5</f>
        <v>#DIV/0!</v>
      </c>
    </row>
    <row r="23" spans="1:14" ht="14" customHeight="1">
      <c r="A23" s="11">
        <f t="shared" si="0"/>
        <v>240</v>
      </c>
      <c r="B23" s="12" t="e">
        <f>ROUND((2*Pappe+Eingabe!$P$18+A23*$Q$4)/$Q$5,0)*$Q$5</f>
        <v>#DIV/0!</v>
      </c>
      <c r="D23" s="11">
        <f t="shared" si="1"/>
        <v>960</v>
      </c>
      <c r="E23" s="12" t="e">
        <f>ROUND((2*Pappe+Eingabe!$P$18+D23*$Q$4)/$Q$5,0)*$Q$5</f>
        <v>#DIV/0!</v>
      </c>
      <c r="G23" s="11">
        <f t="shared" si="2"/>
        <v>1680</v>
      </c>
      <c r="H23" s="12" t="e">
        <f>ROUND((2*Pappe+Eingabe!$P$18+G23*$Q$4)/$Q$5,0)*$Q$5</f>
        <v>#DIV/0!</v>
      </c>
      <c r="J23" s="11">
        <f t="shared" si="3"/>
        <v>2400</v>
      </c>
      <c r="K23" s="12" t="e">
        <f>ROUND((2*Pappe+Eingabe!$P$18+J23*$Q$4)/$Q$5,0)*$Q$5</f>
        <v>#DIV/0!</v>
      </c>
      <c r="M23" s="11">
        <f t="shared" si="4"/>
        <v>3120</v>
      </c>
      <c r="N23" s="12" t="e">
        <f>ROUND((2*Pappe+Eingabe!$P$18+M23*$Q$4)/$Q$5,0)*$Q$5</f>
        <v>#DIV/0!</v>
      </c>
    </row>
    <row r="24" spans="1:14" ht="14" customHeight="1">
      <c r="A24" s="11">
        <f t="shared" si="0"/>
        <v>256</v>
      </c>
      <c r="B24" s="12" t="e">
        <f>ROUND((2*Pappe+Eingabe!$P$18+A24*$Q$4)/$Q$5,0)*$Q$5</f>
        <v>#DIV/0!</v>
      </c>
      <c r="D24" s="11">
        <f t="shared" si="1"/>
        <v>976</v>
      </c>
      <c r="E24" s="12" t="e">
        <f>ROUND((2*Pappe+Eingabe!$P$18+D24*$Q$4)/$Q$5,0)*$Q$5</f>
        <v>#DIV/0!</v>
      </c>
      <c r="G24" s="11">
        <f t="shared" si="2"/>
        <v>1696</v>
      </c>
      <c r="H24" s="12" t="e">
        <f>ROUND((2*Pappe+Eingabe!$P$18+G24*$Q$4)/$Q$5,0)*$Q$5</f>
        <v>#DIV/0!</v>
      </c>
      <c r="J24" s="11">
        <f t="shared" si="3"/>
        <v>2416</v>
      </c>
      <c r="K24" s="12" t="e">
        <f>ROUND((2*Pappe+Eingabe!$P$18+J24*$Q$4)/$Q$5,0)*$Q$5</f>
        <v>#DIV/0!</v>
      </c>
      <c r="M24" s="11">
        <f t="shared" si="4"/>
        <v>3136</v>
      </c>
      <c r="N24" s="12" t="e">
        <f>ROUND((2*Pappe+Eingabe!$P$18+M24*$Q$4)/$Q$5,0)*$Q$5</f>
        <v>#DIV/0!</v>
      </c>
    </row>
    <row r="25" spans="1:14" ht="14" customHeight="1">
      <c r="A25" s="11">
        <f t="shared" si="0"/>
        <v>272</v>
      </c>
      <c r="B25" s="12" t="e">
        <f>ROUND((2*Pappe+Eingabe!$P$18+A25*$Q$4)/$Q$5,0)*$Q$5</f>
        <v>#DIV/0!</v>
      </c>
      <c r="D25" s="11">
        <f t="shared" si="1"/>
        <v>992</v>
      </c>
      <c r="E25" s="12" t="e">
        <f>ROUND((2*Pappe+Eingabe!$P$18+D25*$Q$4)/$Q$5,0)*$Q$5</f>
        <v>#DIV/0!</v>
      </c>
      <c r="G25" s="11">
        <f t="shared" si="2"/>
        <v>1712</v>
      </c>
      <c r="H25" s="12" t="e">
        <f>ROUND((2*Pappe+Eingabe!$P$18+G25*$Q$4)/$Q$5,0)*$Q$5</f>
        <v>#DIV/0!</v>
      </c>
      <c r="J25" s="11">
        <f t="shared" si="3"/>
        <v>2432</v>
      </c>
      <c r="K25" s="12" t="e">
        <f>ROUND((2*Pappe+Eingabe!$P$18+J25*$Q$4)/$Q$5,0)*$Q$5</f>
        <v>#DIV/0!</v>
      </c>
      <c r="M25" s="11">
        <f t="shared" si="4"/>
        <v>3152</v>
      </c>
      <c r="N25" s="12" t="e">
        <f>ROUND((2*Pappe+Eingabe!$P$18+M25*$Q$4)/$Q$5,0)*$Q$5</f>
        <v>#DIV/0!</v>
      </c>
    </row>
    <row r="26" spans="1:14" ht="14" customHeight="1">
      <c r="A26" s="11">
        <f t="shared" si="0"/>
        <v>288</v>
      </c>
      <c r="B26" s="12" t="e">
        <f>ROUND((2*Pappe+Eingabe!$P$18+A26*$Q$4)/$Q$5,0)*$Q$5</f>
        <v>#DIV/0!</v>
      </c>
      <c r="D26" s="11">
        <f t="shared" si="1"/>
        <v>1008</v>
      </c>
      <c r="E26" s="12" t="e">
        <f>ROUND((2*Pappe+Eingabe!$P$18+D26*$Q$4)/$Q$5,0)*$Q$5</f>
        <v>#DIV/0!</v>
      </c>
      <c r="G26" s="11">
        <f t="shared" si="2"/>
        <v>1728</v>
      </c>
      <c r="H26" s="12" t="e">
        <f>ROUND((2*Pappe+Eingabe!$P$18+G26*$Q$4)/$Q$5,0)*$Q$5</f>
        <v>#DIV/0!</v>
      </c>
      <c r="J26" s="11">
        <f t="shared" si="3"/>
        <v>2448</v>
      </c>
      <c r="K26" s="12" t="e">
        <f>ROUND((2*Pappe+Eingabe!$P$18+J26*$Q$4)/$Q$5,0)*$Q$5</f>
        <v>#DIV/0!</v>
      </c>
      <c r="M26" s="11">
        <f t="shared" si="4"/>
        <v>3168</v>
      </c>
      <c r="N26" s="12" t="e">
        <f>ROUND((2*Pappe+Eingabe!$P$18+M26*$Q$4)/$Q$5,0)*$Q$5</f>
        <v>#DIV/0!</v>
      </c>
    </row>
    <row r="27" spans="1:14" ht="14" customHeight="1">
      <c r="A27" s="11">
        <f t="shared" si="0"/>
        <v>304</v>
      </c>
      <c r="B27" s="12" t="e">
        <f>ROUND((2*Pappe+Eingabe!$P$18+A27*$Q$4)/$Q$5,0)*$Q$5</f>
        <v>#DIV/0!</v>
      </c>
      <c r="D27" s="11">
        <f t="shared" si="1"/>
        <v>1024</v>
      </c>
      <c r="E27" s="12" t="e">
        <f>ROUND((2*Pappe+Eingabe!$P$18+D27*$Q$4)/$Q$5,0)*$Q$5</f>
        <v>#DIV/0!</v>
      </c>
      <c r="G27" s="11">
        <f t="shared" si="2"/>
        <v>1744</v>
      </c>
      <c r="H27" s="12" t="e">
        <f>ROUND((2*Pappe+Eingabe!$P$18+G27*$Q$4)/$Q$5,0)*$Q$5</f>
        <v>#DIV/0!</v>
      </c>
      <c r="J27" s="11">
        <f t="shared" si="3"/>
        <v>2464</v>
      </c>
      <c r="K27" s="12" t="e">
        <f>ROUND((2*Pappe+Eingabe!$P$18+J27*$Q$4)/$Q$5,0)*$Q$5</f>
        <v>#DIV/0!</v>
      </c>
      <c r="M27" s="11">
        <f t="shared" si="4"/>
        <v>3184</v>
      </c>
      <c r="N27" s="12" t="e">
        <f>ROUND((2*Pappe+Eingabe!$P$18+M27*$Q$4)/$Q$5,0)*$Q$5</f>
        <v>#DIV/0!</v>
      </c>
    </row>
    <row r="28" spans="1:14" ht="14" customHeight="1">
      <c r="A28" s="11">
        <f t="shared" si="0"/>
        <v>320</v>
      </c>
      <c r="B28" s="12" t="e">
        <f>ROUND((2*Pappe+Eingabe!$P$18+A28*$Q$4)/$Q$5,0)*$Q$5</f>
        <v>#DIV/0!</v>
      </c>
      <c r="D28" s="11">
        <f t="shared" si="1"/>
        <v>1040</v>
      </c>
      <c r="E28" s="12" t="e">
        <f>ROUND((2*Pappe+Eingabe!$P$18+D28*$Q$4)/$Q$5,0)*$Q$5</f>
        <v>#DIV/0!</v>
      </c>
      <c r="G28" s="11">
        <f t="shared" si="2"/>
        <v>1760</v>
      </c>
      <c r="H28" s="12" t="e">
        <f>ROUND((2*Pappe+Eingabe!$P$18+G28*$Q$4)/$Q$5,0)*$Q$5</f>
        <v>#DIV/0!</v>
      </c>
      <c r="J28" s="11">
        <f t="shared" si="3"/>
        <v>2480</v>
      </c>
      <c r="K28" s="12" t="e">
        <f>ROUND((2*Pappe+Eingabe!$P$18+J28*$Q$4)/$Q$5,0)*$Q$5</f>
        <v>#DIV/0!</v>
      </c>
      <c r="M28" s="11">
        <f t="shared" si="4"/>
        <v>3200</v>
      </c>
      <c r="N28" s="12" t="e">
        <f>ROUND((2*Pappe+Eingabe!$P$18+M28*$Q$4)/$Q$5,0)*$Q$5</f>
        <v>#DIV/0!</v>
      </c>
    </row>
    <row r="29" spans="1:14" ht="14" customHeight="1">
      <c r="A29" s="11">
        <f t="shared" si="0"/>
        <v>336</v>
      </c>
      <c r="B29" s="12" t="e">
        <f>ROUND((2*Pappe+Eingabe!$P$18+A29*$Q$4)/$Q$5,0)*$Q$5</f>
        <v>#DIV/0!</v>
      </c>
      <c r="D29" s="11">
        <f t="shared" si="1"/>
        <v>1056</v>
      </c>
      <c r="E29" s="12" t="e">
        <f>ROUND((2*Pappe+Eingabe!$P$18+D29*$Q$4)/$Q$5,0)*$Q$5</f>
        <v>#DIV/0!</v>
      </c>
      <c r="G29" s="11">
        <f t="shared" si="2"/>
        <v>1776</v>
      </c>
      <c r="H29" s="12" t="e">
        <f>ROUND((2*Pappe+Eingabe!$P$18+G29*$Q$4)/$Q$5,0)*$Q$5</f>
        <v>#DIV/0!</v>
      </c>
      <c r="J29" s="11">
        <f t="shared" si="3"/>
        <v>2496</v>
      </c>
      <c r="K29" s="12" t="e">
        <f>ROUND((2*Pappe+Eingabe!$P$18+J29*$Q$4)/$Q$5,0)*$Q$5</f>
        <v>#DIV/0!</v>
      </c>
      <c r="M29" s="11">
        <f t="shared" si="4"/>
        <v>3216</v>
      </c>
      <c r="N29" s="12" t="e">
        <f>ROUND((2*Pappe+Eingabe!$P$18+M29*$Q$4)/$Q$5,0)*$Q$5</f>
        <v>#DIV/0!</v>
      </c>
    </row>
    <row r="30" spans="1:14" ht="14" customHeight="1">
      <c r="A30" s="11">
        <f t="shared" si="0"/>
        <v>352</v>
      </c>
      <c r="B30" s="12" t="e">
        <f>ROUND((2*Pappe+Eingabe!$P$18+A30*$Q$4)/$Q$5,0)*$Q$5</f>
        <v>#DIV/0!</v>
      </c>
      <c r="D30" s="11">
        <f t="shared" si="1"/>
        <v>1072</v>
      </c>
      <c r="E30" s="12" t="e">
        <f>ROUND((2*Pappe+Eingabe!$P$18+D30*$Q$4)/$Q$5,0)*$Q$5</f>
        <v>#DIV/0!</v>
      </c>
      <c r="G30" s="11">
        <f t="shared" si="2"/>
        <v>1792</v>
      </c>
      <c r="H30" s="12" t="e">
        <f>ROUND((2*Pappe+Eingabe!$P$18+G30*$Q$4)/$Q$5,0)*$Q$5</f>
        <v>#DIV/0!</v>
      </c>
      <c r="J30" s="11">
        <f t="shared" si="3"/>
        <v>2512</v>
      </c>
      <c r="K30" s="12" t="e">
        <f>ROUND((2*Pappe+Eingabe!$P$18+J30*$Q$4)/$Q$5,0)*$Q$5</f>
        <v>#DIV/0!</v>
      </c>
      <c r="M30" s="11">
        <f t="shared" si="4"/>
        <v>3232</v>
      </c>
      <c r="N30" s="12" t="e">
        <f>ROUND((2*Pappe+Eingabe!$P$18+M30*$Q$4)/$Q$5,0)*$Q$5</f>
        <v>#DIV/0!</v>
      </c>
    </row>
    <row r="31" spans="1:14" ht="14" customHeight="1">
      <c r="A31" s="11">
        <f t="shared" si="0"/>
        <v>368</v>
      </c>
      <c r="B31" s="12" t="e">
        <f>ROUND((2*Pappe+Eingabe!$P$18+A31*$Q$4)/$Q$5,0)*$Q$5</f>
        <v>#DIV/0!</v>
      </c>
      <c r="D31" s="11">
        <f t="shared" si="1"/>
        <v>1088</v>
      </c>
      <c r="E31" s="12" t="e">
        <f>ROUND((2*Pappe+Eingabe!$P$18+D31*$Q$4)/$Q$5,0)*$Q$5</f>
        <v>#DIV/0!</v>
      </c>
      <c r="G31" s="11">
        <f t="shared" si="2"/>
        <v>1808</v>
      </c>
      <c r="H31" s="12" t="e">
        <f>ROUND((2*Pappe+Eingabe!$P$18+G31*$Q$4)/$Q$5,0)*$Q$5</f>
        <v>#DIV/0!</v>
      </c>
      <c r="J31" s="11">
        <f t="shared" si="3"/>
        <v>2528</v>
      </c>
      <c r="K31" s="12" t="e">
        <f>ROUND((2*Pappe+Eingabe!$P$18+J31*$Q$4)/$Q$5,0)*$Q$5</f>
        <v>#DIV/0!</v>
      </c>
      <c r="M31" s="11">
        <f t="shared" si="4"/>
        <v>3248</v>
      </c>
      <c r="N31" s="12" t="e">
        <f>ROUND((2*Pappe+Eingabe!$P$18+M31*$Q$4)/$Q$5,0)*$Q$5</f>
        <v>#DIV/0!</v>
      </c>
    </row>
    <row r="32" spans="1:14" ht="14" customHeight="1">
      <c r="A32" s="11">
        <f t="shared" si="0"/>
        <v>384</v>
      </c>
      <c r="B32" s="12" t="e">
        <f>ROUND((2*Pappe+Eingabe!$P$18+A32*$Q$4)/$Q$5,0)*$Q$5</f>
        <v>#DIV/0!</v>
      </c>
      <c r="D32" s="11">
        <f t="shared" si="1"/>
        <v>1104</v>
      </c>
      <c r="E32" s="12" t="e">
        <f>ROUND((2*Pappe+Eingabe!$P$18+D32*$Q$4)/$Q$5,0)*$Q$5</f>
        <v>#DIV/0!</v>
      </c>
      <c r="G32" s="11">
        <f t="shared" si="2"/>
        <v>1824</v>
      </c>
      <c r="H32" s="12" t="e">
        <f>ROUND((2*Pappe+Eingabe!$P$18+G32*$Q$4)/$Q$5,0)*$Q$5</f>
        <v>#DIV/0!</v>
      </c>
      <c r="J32" s="11">
        <f t="shared" si="3"/>
        <v>2544</v>
      </c>
      <c r="K32" s="12" t="e">
        <f>ROUND((2*Pappe+Eingabe!$P$18+J32*$Q$4)/$Q$5,0)*$Q$5</f>
        <v>#DIV/0!</v>
      </c>
      <c r="M32" s="11">
        <f t="shared" si="4"/>
        <v>3264</v>
      </c>
      <c r="N32" s="12" t="e">
        <f>ROUND((2*Pappe+Eingabe!$P$18+M32*$Q$4)/$Q$5,0)*$Q$5</f>
        <v>#DIV/0!</v>
      </c>
    </row>
    <row r="33" spans="1:14" ht="14" customHeight="1">
      <c r="A33" s="11">
        <f t="shared" si="0"/>
        <v>400</v>
      </c>
      <c r="B33" s="12" t="e">
        <f>ROUND((2*Pappe+Eingabe!$P$18+A33*$Q$4)/$Q$5,0)*$Q$5</f>
        <v>#DIV/0!</v>
      </c>
      <c r="D33" s="11">
        <f t="shared" si="1"/>
        <v>1120</v>
      </c>
      <c r="E33" s="12" t="e">
        <f>ROUND((2*Pappe+Eingabe!$P$18+D33*$Q$4)/$Q$5,0)*$Q$5</f>
        <v>#DIV/0!</v>
      </c>
      <c r="G33" s="11">
        <f t="shared" si="2"/>
        <v>1840</v>
      </c>
      <c r="H33" s="12" t="e">
        <f>ROUND((2*Pappe+Eingabe!$P$18+G33*$Q$4)/$Q$5,0)*$Q$5</f>
        <v>#DIV/0!</v>
      </c>
      <c r="J33" s="11">
        <f t="shared" si="3"/>
        <v>2560</v>
      </c>
      <c r="K33" s="12" t="e">
        <f>ROUND((2*Pappe+Eingabe!$P$18+J33*$Q$4)/$Q$5,0)*$Q$5</f>
        <v>#DIV/0!</v>
      </c>
      <c r="M33" s="11">
        <f t="shared" si="4"/>
        <v>3280</v>
      </c>
      <c r="N33" s="12" t="e">
        <f>ROUND((2*Pappe+Eingabe!$P$18+M33*$Q$4)/$Q$5,0)*$Q$5</f>
        <v>#DIV/0!</v>
      </c>
    </row>
    <row r="34" spans="1:14" ht="14" customHeight="1">
      <c r="A34" s="11">
        <f t="shared" si="0"/>
        <v>416</v>
      </c>
      <c r="B34" s="12" t="e">
        <f>ROUND((2*Pappe+Eingabe!$P$18+A34*$Q$4)/$Q$5,0)*$Q$5</f>
        <v>#DIV/0!</v>
      </c>
      <c r="D34" s="11">
        <f t="shared" si="1"/>
        <v>1136</v>
      </c>
      <c r="E34" s="12" t="e">
        <f>ROUND((2*Pappe+Eingabe!$P$18+D34*$Q$4)/$Q$5,0)*$Q$5</f>
        <v>#DIV/0!</v>
      </c>
      <c r="G34" s="11">
        <f t="shared" si="2"/>
        <v>1856</v>
      </c>
      <c r="H34" s="12" t="e">
        <f>ROUND((2*Pappe+Eingabe!$P$18+G34*$Q$4)/$Q$5,0)*$Q$5</f>
        <v>#DIV/0!</v>
      </c>
      <c r="J34" s="11">
        <f t="shared" si="3"/>
        <v>2576</v>
      </c>
      <c r="K34" s="12" t="e">
        <f>ROUND((2*Pappe+Eingabe!$P$18+J34*$Q$4)/$Q$5,0)*$Q$5</f>
        <v>#DIV/0!</v>
      </c>
      <c r="M34" s="11">
        <f t="shared" si="4"/>
        <v>3296</v>
      </c>
      <c r="N34" s="12" t="e">
        <f>ROUND((2*Pappe+Eingabe!$P$18+M34*$Q$4)/$Q$5,0)*$Q$5</f>
        <v>#DIV/0!</v>
      </c>
    </row>
    <row r="35" spans="1:14" ht="14" customHeight="1">
      <c r="A35" s="11">
        <f t="shared" si="0"/>
        <v>432</v>
      </c>
      <c r="B35" s="12" t="e">
        <f>ROUND((2*Pappe+Eingabe!$P$18+A35*$Q$4)/$Q$5,0)*$Q$5</f>
        <v>#DIV/0!</v>
      </c>
      <c r="D35" s="11">
        <f t="shared" si="1"/>
        <v>1152</v>
      </c>
      <c r="E35" s="12" t="e">
        <f>ROUND((2*Pappe+Eingabe!$P$18+D35*$Q$4)/$Q$5,0)*$Q$5</f>
        <v>#DIV/0!</v>
      </c>
      <c r="G35" s="11">
        <f t="shared" si="2"/>
        <v>1872</v>
      </c>
      <c r="H35" s="12" t="e">
        <f>ROUND((2*Pappe+Eingabe!$P$18+G35*$Q$4)/$Q$5,0)*$Q$5</f>
        <v>#DIV/0!</v>
      </c>
      <c r="J35" s="11">
        <f t="shared" si="3"/>
        <v>2592</v>
      </c>
      <c r="K35" s="12" t="e">
        <f>ROUND((2*Pappe+Eingabe!$P$18+J35*$Q$4)/$Q$5,0)*$Q$5</f>
        <v>#DIV/0!</v>
      </c>
      <c r="M35" s="11">
        <f t="shared" si="4"/>
        <v>3312</v>
      </c>
      <c r="N35" s="12" t="e">
        <f>ROUND((2*Pappe+Eingabe!$P$18+M35*$Q$4)/$Q$5,0)*$Q$5</f>
        <v>#DIV/0!</v>
      </c>
    </row>
    <row r="36" spans="1:14" ht="14" customHeight="1">
      <c r="A36" s="11">
        <f t="shared" si="0"/>
        <v>448</v>
      </c>
      <c r="B36" s="12" t="e">
        <f>ROUND((2*Pappe+Eingabe!$P$18+A36*$Q$4)/$Q$5,0)*$Q$5</f>
        <v>#DIV/0!</v>
      </c>
      <c r="D36" s="11">
        <f t="shared" si="1"/>
        <v>1168</v>
      </c>
      <c r="E36" s="12" t="e">
        <f>ROUND((2*Pappe+Eingabe!$P$18+D36*$Q$4)/$Q$5,0)*$Q$5</f>
        <v>#DIV/0!</v>
      </c>
      <c r="G36" s="11">
        <f t="shared" si="2"/>
        <v>1888</v>
      </c>
      <c r="H36" s="12" t="e">
        <f>ROUND((2*Pappe+Eingabe!$P$18+G36*$Q$4)/$Q$5,0)*$Q$5</f>
        <v>#DIV/0!</v>
      </c>
      <c r="J36" s="11">
        <f t="shared" si="3"/>
        <v>2608</v>
      </c>
      <c r="K36" s="12" t="e">
        <f>ROUND((2*Pappe+Eingabe!$P$18+J36*$Q$4)/$Q$5,0)*$Q$5</f>
        <v>#DIV/0!</v>
      </c>
      <c r="M36" s="11">
        <f t="shared" si="4"/>
        <v>3328</v>
      </c>
      <c r="N36" s="12" t="e">
        <f>ROUND((2*Pappe+Eingabe!$P$18+M36*$Q$4)/$Q$5,0)*$Q$5</f>
        <v>#DIV/0!</v>
      </c>
    </row>
    <row r="37" spans="1:14" ht="14" customHeight="1">
      <c r="A37" s="11">
        <f t="shared" si="0"/>
        <v>464</v>
      </c>
      <c r="B37" s="12" t="e">
        <f>ROUND((2*Pappe+Eingabe!$P$18+A37*$Q$4)/$Q$5,0)*$Q$5</f>
        <v>#DIV/0!</v>
      </c>
      <c r="D37" s="11">
        <f t="shared" si="1"/>
        <v>1184</v>
      </c>
      <c r="E37" s="12" t="e">
        <f>ROUND((2*Pappe+Eingabe!$P$18+D37*$Q$4)/$Q$5,0)*$Q$5</f>
        <v>#DIV/0!</v>
      </c>
      <c r="G37" s="11">
        <f t="shared" si="2"/>
        <v>1904</v>
      </c>
      <c r="H37" s="12" t="e">
        <f>ROUND((2*Pappe+Eingabe!$P$18+G37*$Q$4)/$Q$5,0)*$Q$5</f>
        <v>#DIV/0!</v>
      </c>
      <c r="J37" s="11">
        <f t="shared" si="3"/>
        <v>2624</v>
      </c>
      <c r="K37" s="12" t="e">
        <f>ROUND((2*Pappe+Eingabe!$P$18+J37*$Q$4)/$Q$5,0)*$Q$5</f>
        <v>#DIV/0!</v>
      </c>
      <c r="M37" s="11">
        <f t="shared" si="4"/>
        <v>3344</v>
      </c>
      <c r="N37" s="12" t="e">
        <f>ROUND((2*Pappe+Eingabe!$P$18+M37*$Q$4)/$Q$5,0)*$Q$5</f>
        <v>#DIV/0!</v>
      </c>
    </row>
    <row r="38" spans="1:14" ht="14" customHeight="1">
      <c r="A38" s="11">
        <f t="shared" si="0"/>
        <v>480</v>
      </c>
      <c r="B38" s="12" t="e">
        <f>ROUND((2*Pappe+Eingabe!$P$18+A38*$Q$4)/$Q$5,0)*$Q$5</f>
        <v>#DIV/0!</v>
      </c>
      <c r="D38" s="11">
        <f t="shared" si="1"/>
        <v>1200</v>
      </c>
      <c r="E38" s="12" t="e">
        <f>ROUND((2*Pappe+Eingabe!$P$18+D38*$Q$4)/$Q$5,0)*$Q$5</f>
        <v>#DIV/0!</v>
      </c>
      <c r="G38" s="11">
        <f t="shared" si="2"/>
        <v>1920</v>
      </c>
      <c r="H38" s="12" t="e">
        <f>ROUND((2*Pappe+Eingabe!$P$18+G38*$Q$4)/$Q$5,0)*$Q$5</f>
        <v>#DIV/0!</v>
      </c>
      <c r="J38" s="11">
        <f t="shared" si="3"/>
        <v>2640</v>
      </c>
      <c r="K38" s="12" t="e">
        <f>ROUND((2*Pappe+Eingabe!$P$18+J38*$Q$4)/$Q$5,0)*$Q$5</f>
        <v>#DIV/0!</v>
      </c>
      <c r="M38" s="11">
        <f t="shared" si="4"/>
        <v>3360</v>
      </c>
      <c r="N38" s="12" t="e">
        <f>ROUND((2*Pappe+Eingabe!$P$18+M38*$Q$4)/$Q$5,0)*$Q$5</f>
        <v>#DIV/0!</v>
      </c>
    </row>
    <row r="39" spans="1:14" ht="14" customHeight="1">
      <c r="A39" s="11">
        <f t="shared" si="0"/>
        <v>496</v>
      </c>
      <c r="B39" s="12" t="e">
        <f>ROUND((2*Pappe+Eingabe!$P$18+A39*$Q$4)/$Q$5,0)*$Q$5</f>
        <v>#DIV/0!</v>
      </c>
      <c r="D39" s="11">
        <f t="shared" si="1"/>
        <v>1216</v>
      </c>
      <c r="E39" s="12" t="e">
        <f>ROUND((2*Pappe+Eingabe!$P$18+D39*$Q$4)/$Q$5,0)*$Q$5</f>
        <v>#DIV/0!</v>
      </c>
      <c r="G39" s="11">
        <f t="shared" si="2"/>
        <v>1936</v>
      </c>
      <c r="H39" s="12" t="e">
        <f>ROUND((2*Pappe+Eingabe!$P$18+G39*$Q$4)/$Q$5,0)*$Q$5</f>
        <v>#DIV/0!</v>
      </c>
      <c r="J39" s="11">
        <f t="shared" si="3"/>
        <v>2656</v>
      </c>
      <c r="K39" s="12" t="e">
        <f>ROUND((2*Pappe+Eingabe!$P$18+J39*$Q$4)/$Q$5,0)*$Q$5</f>
        <v>#DIV/0!</v>
      </c>
      <c r="M39" s="11">
        <f t="shared" si="4"/>
        <v>3376</v>
      </c>
      <c r="N39" s="12" t="e">
        <f>ROUND((2*Pappe+Eingabe!$P$18+M39*$Q$4)/$Q$5,0)*$Q$5</f>
        <v>#DIV/0!</v>
      </c>
    </row>
    <row r="40" spans="1:14" ht="14" customHeight="1">
      <c r="A40" s="11">
        <f t="shared" si="0"/>
        <v>512</v>
      </c>
      <c r="B40" s="12" t="e">
        <f>ROUND((2*Pappe+Eingabe!$P$18+A40*$Q$4)/$Q$5,0)*$Q$5</f>
        <v>#DIV/0!</v>
      </c>
      <c r="D40" s="11">
        <f t="shared" si="1"/>
        <v>1232</v>
      </c>
      <c r="E40" s="12" t="e">
        <f>ROUND((2*Pappe+Eingabe!$P$18+D40*$Q$4)/$Q$5,0)*$Q$5</f>
        <v>#DIV/0!</v>
      </c>
      <c r="G40" s="11">
        <f t="shared" si="2"/>
        <v>1952</v>
      </c>
      <c r="H40" s="12" t="e">
        <f>ROUND((2*Pappe+Eingabe!$P$18+G40*$Q$4)/$Q$5,0)*$Q$5</f>
        <v>#DIV/0!</v>
      </c>
      <c r="J40" s="11">
        <f t="shared" si="3"/>
        <v>2672</v>
      </c>
      <c r="K40" s="12" t="e">
        <f>ROUND((2*Pappe+Eingabe!$P$18+J40*$Q$4)/$Q$5,0)*$Q$5</f>
        <v>#DIV/0!</v>
      </c>
      <c r="M40" s="11">
        <f t="shared" si="4"/>
        <v>3392</v>
      </c>
      <c r="N40" s="12" t="e">
        <f>ROUND((2*Pappe+Eingabe!$P$18+M40*$Q$4)/$Q$5,0)*$Q$5</f>
        <v>#DIV/0!</v>
      </c>
    </row>
    <row r="41" spans="1:14" ht="14" customHeight="1">
      <c r="A41" s="11">
        <f t="shared" si="0"/>
        <v>528</v>
      </c>
      <c r="B41" s="12" t="e">
        <f>ROUND((2*Pappe+Eingabe!$P$18+A41*$Q$4)/$Q$5,0)*$Q$5</f>
        <v>#DIV/0!</v>
      </c>
      <c r="D41" s="11">
        <f t="shared" si="1"/>
        <v>1248</v>
      </c>
      <c r="E41" s="12" t="e">
        <f>ROUND((2*Pappe+Eingabe!$P$18+D41*$Q$4)/$Q$5,0)*$Q$5</f>
        <v>#DIV/0!</v>
      </c>
      <c r="G41" s="11">
        <f t="shared" si="2"/>
        <v>1968</v>
      </c>
      <c r="H41" s="12" t="e">
        <f>ROUND((2*Pappe+Eingabe!$P$18+G41*$Q$4)/$Q$5,0)*$Q$5</f>
        <v>#DIV/0!</v>
      </c>
      <c r="J41" s="11">
        <f t="shared" si="3"/>
        <v>2688</v>
      </c>
      <c r="K41" s="12" t="e">
        <f>ROUND((2*Pappe+Eingabe!$P$18+J41*$Q$4)/$Q$5,0)*$Q$5</f>
        <v>#DIV/0!</v>
      </c>
      <c r="M41" s="11">
        <f t="shared" si="4"/>
        <v>3408</v>
      </c>
      <c r="N41" s="12" t="e">
        <f>ROUND((2*Pappe+Eingabe!$P$18+M41*$Q$4)/$Q$5,0)*$Q$5</f>
        <v>#DIV/0!</v>
      </c>
    </row>
    <row r="42" spans="1:14" ht="14" customHeight="1">
      <c r="A42" s="11">
        <f t="shared" si="0"/>
        <v>544</v>
      </c>
      <c r="B42" s="12" t="e">
        <f>ROUND((2*Pappe+Eingabe!$P$18+A42*$Q$4)/$Q$5,0)*$Q$5</f>
        <v>#DIV/0!</v>
      </c>
      <c r="D42" s="11">
        <f t="shared" si="1"/>
        <v>1264</v>
      </c>
      <c r="E42" s="12" t="e">
        <f>ROUND((2*Pappe+Eingabe!$P$18+D42*$Q$4)/$Q$5,0)*$Q$5</f>
        <v>#DIV/0!</v>
      </c>
      <c r="G42" s="11">
        <f t="shared" si="2"/>
        <v>1984</v>
      </c>
      <c r="H42" s="12" t="e">
        <f>ROUND((2*Pappe+Eingabe!$P$18+G42*$Q$4)/$Q$5,0)*$Q$5</f>
        <v>#DIV/0!</v>
      </c>
      <c r="J42" s="11">
        <f t="shared" si="3"/>
        <v>2704</v>
      </c>
      <c r="K42" s="12" t="e">
        <f>ROUND((2*Pappe+Eingabe!$P$18+J42*$Q$4)/$Q$5,0)*$Q$5</f>
        <v>#DIV/0!</v>
      </c>
      <c r="M42" s="11">
        <f t="shared" si="4"/>
        <v>3424</v>
      </c>
      <c r="N42" s="12" t="e">
        <f>ROUND((2*Pappe+Eingabe!$P$18+M42*$Q$4)/$Q$5,0)*$Q$5</f>
        <v>#DIV/0!</v>
      </c>
    </row>
    <row r="43" spans="1:14" ht="14" customHeight="1">
      <c r="A43" s="11">
        <f t="shared" si="0"/>
        <v>560</v>
      </c>
      <c r="B43" s="12" t="e">
        <f>ROUND((2*Pappe+Eingabe!$P$18+A43*$Q$4)/$Q$5,0)*$Q$5</f>
        <v>#DIV/0!</v>
      </c>
      <c r="D43" s="11">
        <f t="shared" si="1"/>
        <v>1280</v>
      </c>
      <c r="E43" s="12" t="e">
        <f>ROUND((2*Pappe+Eingabe!$P$18+D43*$Q$4)/$Q$5,0)*$Q$5</f>
        <v>#DIV/0!</v>
      </c>
      <c r="G43" s="11">
        <f t="shared" si="2"/>
        <v>2000</v>
      </c>
      <c r="H43" s="12" t="e">
        <f>ROUND((2*Pappe+Eingabe!$P$18+G43*$Q$4)/$Q$5,0)*$Q$5</f>
        <v>#DIV/0!</v>
      </c>
      <c r="J43" s="11">
        <f t="shared" si="3"/>
        <v>2720</v>
      </c>
      <c r="K43" s="12" t="e">
        <f>ROUND((2*Pappe+Eingabe!$P$18+J43*$Q$4)/$Q$5,0)*$Q$5</f>
        <v>#DIV/0!</v>
      </c>
      <c r="M43" s="11">
        <f t="shared" si="4"/>
        <v>3440</v>
      </c>
      <c r="N43" s="12" t="e">
        <f>ROUND((2*Pappe+Eingabe!$P$18+M43*$Q$4)/$Q$5,0)*$Q$5</f>
        <v>#DIV/0!</v>
      </c>
    </row>
    <row r="44" spans="1:14" ht="14" customHeight="1">
      <c r="A44" s="11">
        <f t="shared" si="0"/>
        <v>576</v>
      </c>
      <c r="B44" s="12" t="e">
        <f>ROUND((2*Pappe+Eingabe!$P$18+A44*$Q$4)/$Q$5,0)*$Q$5</f>
        <v>#DIV/0!</v>
      </c>
      <c r="D44" s="11">
        <f t="shared" si="1"/>
        <v>1296</v>
      </c>
      <c r="E44" s="12" t="e">
        <f>ROUND((2*Pappe+Eingabe!$P$18+D44*$Q$4)/$Q$5,0)*$Q$5</f>
        <v>#DIV/0!</v>
      </c>
      <c r="G44" s="11">
        <f t="shared" si="2"/>
        <v>2016</v>
      </c>
      <c r="H44" s="12" t="e">
        <f>ROUND((2*Pappe+Eingabe!$P$18+G44*$Q$4)/$Q$5,0)*$Q$5</f>
        <v>#DIV/0!</v>
      </c>
      <c r="J44" s="11">
        <f t="shared" si="3"/>
        <v>2736</v>
      </c>
      <c r="K44" s="12" t="e">
        <f>ROUND((2*Pappe+Eingabe!$P$18+J44*$Q$4)/$Q$5,0)*$Q$5</f>
        <v>#DIV/0!</v>
      </c>
      <c r="M44" s="11">
        <f t="shared" si="4"/>
        <v>3456</v>
      </c>
      <c r="N44" s="12" t="e">
        <f>ROUND((2*Pappe+Eingabe!$P$18+M44*$Q$4)/$Q$5,0)*$Q$5</f>
        <v>#DIV/0!</v>
      </c>
    </row>
    <row r="45" spans="1:14" ht="14" customHeight="1">
      <c r="A45" s="11">
        <f t="shared" si="0"/>
        <v>592</v>
      </c>
      <c r="B45" s="12" t="e">
        <f>ROUND((2*Pappe+Eingabe!$P$18+A45*$Q$4)/$Q$5,0)*$Q$5</f>
        <v>#DIV/0!</v>
      </c>
      <c r="D45" s="11">
        <f t="shared" si="1"/>
        <v>1312</v>
      </c>
      <c r="E45" s="12" t="e">
        <f>ROUND((2*Pappe+Eingabe!$P$18+D45*$Q$4)/$Q$5,0)*$Q$5</f>
        <v>#DIV/0!</v>
      </c>
      <c r="G45" s="11">
        <f t="shared" si="2"/>
        <v>2032</v>
      </c>
      <c r="H45" s="12" t="e">
        <f>ROUND((2*Pappe+Eingabe!$P$18+G45*$Q$4)/$Q$5,0)*$Q$5</f>
        <v>#DIV/0!</v>
      </c>
      <c r="J45" s="11">
        <f t="shared" si="3"/>
        <v>2752</v>
      </c>
      <c r="K45" s="12" t="e">
        <f>ROUND((2*Pappe+Eingabe!$P$18+J45*$Q$4)/$Q$5,0)*$Q$5</f>
        <v>#DIV/0!</v>
      </c>
      <c r="M45" s="11">
        <f t="shared" si="4"/>
        <v>3472</v>
      </c>
      <c r="N45" s="12" t="e">
        <f>ROUND((2*Pappe+Eingabe!$P$18+M45*$Q$4)/$Q$5,0)*$Q$5</f>
        <v>#DIV/0!</v>
      </c>
    </row>
    <row r="46" spans="1:14" ht="14" customHeight="1">
      <c r="A46" s="11">
        <f t="shared" si="0"/>
        <v>608</v>
      </c>
      <c r="B46" s="12" t="e">
        <f>ROUND((2*Pappe+Eingabe!$P$18+A46*$Q$4)/$Q$5,0)*$Q$5</f>
        <v>#DIV/0!</v>
      </c>
      <c r="D46" s="11">
        <f t="shared" si="1"/>
        <v>1328</v>
      </c>
      <c r="E46" s="12" t="e">
        <f>ROUND((2*Pappe+Eingabe!$P$18+D46*$Q$4)/$Q$5,0)*$Q$5</f>
        <v>#DIV/0!</v>
      </c>
      <c r="G46" s="11">
        <f t="shared" si="2"/>
        <v>2048</v>
      </c>
      <c r="H46" s="12" t="e">
        <f>ROUND((2*Pappe+Eingabe!$P$18+G46*$Q$4)/$Q$5,0)*$Q$5</f>
        <v>#DIV/0!</v>
      </c>
      <c r="J46" s="11">
        <f t="shared" si="3"/>
        <v>2768</v>
      </c>
      <c r="K46" s="12" t="e">
        <f>ROUND((2*Pappe+Eingabe!$P$18+J46*$Q$4)/$Q$5,0)*$Q$5</f>
        <v>#DIV/0!</v>
      </c>
      <c r="M46" s="11">
        <f t="shared" si="4"/>
        <v>3488</v>
      </c>
      <c r="N46" s="12" t="e">
        <f>ROUND((2*Pappe+Eingabe!$P$18+M46*$Q$4)/$Q$5,0)*$Q$5</f>
        <v>#DIV/0!</v>
      </c>
    </row>
    <row r="47" spans="1:14" ht="14" customHeight="1">
      <c r="A47" s="11">
        <f t="shared" si="0"/>
        <v>624</v>
      </c>
      <c r="B47" s="12" t="e">
        <f>ROUND((2*Pappe+Eingabe!$P$18+A47*$Q$4)/$Q$5,0)*$Q$5</f>
        <v>#DIV/0!</v>
      </c>
      <c r="D47" s="11">
        <f t="shared" si="1"/>
        <v>1344</v>
      </c>
      <c r="E47" s="12" t="e">
        <f>ROUND((2*Pappe+Eingabe!$P$18+D47*$Q$4)/$Q$5,0)*$Q$5</f>
        <v>#DIV/0!</v>
      </c>
      <c r="G47" s="11">
        <f t="shared" si="2"/>
        <v>2064</v>
      </c>
      <c r="H47" s="12" t="e">
        <f>ROUND((2*Pappe+Eingabe!$P$18+G47*$Q$4)/$Q$5,0)*$Q$5</f>
        <v>#DIV/0!</v>
      </c>
      <c r="J47" s="11">
        <f t="shared" si="3"/>
        <v>2784</v>
      </c>
      <c r="K47" s="12" t="e">
        <f>ROUND((2*Pappe+Eingabe!$P$18+J47*$Q$4)/$Q$5,0)*$Q$5</f>
        <v>#DIV/0!</v>
      </c>
      <c r="M47" s="11">
        <f t="shared" si="4"/>
        <v>3504</v>
      </c>
      <c r="N47" s="12" t="e">
        <f>ROUND((2*Pappe+Eingabe!$P$18+M47*$Q$4)/$Q$5,0)*$Q$5</f>
        <v>#DIV/0!</v>
      </c>
    </row>
    <row r="48" spans="1:14" ht="14" customHeight="1">
      <c r="A48" s="11">
        <f t="shared" si="0"/>
        <v>640</v>
      </c>
      <c r="B48" s="12" t="e">
        <f>ROUND((2*Pappe+Eingabe!$P$18+A48*$Q$4)/$Q$5,0)*$Q$5</f>
        <v>#DIV/0!</v>
      </c>
      <c r="D48" s="11">
        <f t="shared" si="1"/>
        <v>1360</v>
      </c>
      <c r="E48" s="12" t="e">
        <f>ROUND((2*Pappe+Eingabe!$P$18+D48*$Q$4)/$Q$5,0)*$Q$5</f>
        <v>#DIV/0!</v>
      </c>
      <c r="G48" s="11">
        <f t="shared" si="2"/>
        <v>2080</v>
      </c>
      <c r="H48" s="12" t="e">
        <f>ROUND((2*Pappe+Eingabe!$P$18+G48*$Q$4)/$Q$5,0)*$Q$5</f>
        <v>#DIV/0!</v>
      </c>
      <c r="J48" s="11">
        <f t="shared" si="3"/>
        <v>2800</v>
      </c>
      <c r="K48" s="12" t="e">
        <f>ROUND((2*Pappe+Eingabe!$P$18+J48*$Q$4)/$Q$5,0)*$Q$5</f>
        <v>#DIV/0!</v>
      </c>
      <c r="M48" s="11">
        <f t="shared" si="4"/>
        <v>3520</v>
      </c>
      <c r="N48" s="12" t="e">
        <f>ROUND((2*Pappe+Eingabe!$P$18+M48*$Q$4)/$Q$5,0)*$Q$5</f>
        <v>#DIV/0!</v>
      </c>
    </row>
    <row r="49" spans="1:14" ht="14" customHeight="1">
      <c r="A49" s="11">
        <f t="shared" si="0"/>
        <v>656</v>
      </c>
      <c r="B49" s="12" t="e">
        <f>ROUND((2*Pappe+Eingabe!$P$18+A49*$Q$4)/$Q$5,0)*$Q$5</f>
        <v>#DIV/0!</v>
      </c>
      <c r="D49" s="11">
        <f t="shared" si="1"/>
        <v>1376</v>
      </c>
      <c r="E49" s="12" t="e">
        <f>ROUND((2*Pappe+Eingabe!$P$18+D49*$Q$4)/$Q$5,0)*$Q$5</f>
        <v>#DIV/0!</v>
      </c>
      <c r="G49" s="11">
        <f t="shared" si="2"/>
        <v>2096</v>
      </c>
      <c r="H49" s="12" t="e">
        <f>ROUND((2*Pappe+Eingabe!$P$18+G49*$Q$4)/$Q$5,0)*$Q$5</f>
        <v>#DIV/0!</v>
      </c>
      <c r="J49" s="11">
        <f t="shared" si="3"/>
        <v>2816</v>
      </c>
      <c r="K49" s="12" t="e">
        <f>ROUND((2*Pappe+Eingabe!$P$18+J49*$Q$4)/$Q$5,0)*$Q$5</f>
        <v>#DIV/0!</v>
      </c>
      <c r="M49" s="11">
        <f t="shared" si="4"/>
        <v>3536</v>
      </c>
      <c r="N49" s="12" t="e">
        <f>ROUND((2*Pappe+Eingabe!$P$18+M49*$Q$4)/$Q$5,0)*$Q$5</f>
        <v>#DIV/0!</v>
      </c>
    </row>
    <row r="50" spans="1:14" ht="14" customHeight="1">
      <c r="A50" s="11">
        <f t="shared" si="0"/>
        <v>672</v>
      </c>
      <c r="B50" s="12" t="e">
        <f>ROUND((2*Pappe+Eingabe!$P$18+A50*$Q$4)/$Q$5,0)*$Q$5</f>
        <v>#DIV/0!</v>
      </c>
      <c r="D50" s="11">
        <f t="shared" si="1"/>
        <v>1392</v>
      </c>
      <c r="E50" s="12" t="e">
        <f>ROUND((2*Pappe+Eingabe!$P$18+D50*$Q$4)/$Q$5,0)*$Q$5</f>
        <v>#DIV/0!</v>
      </c>
      <c r="G50" s="11">
        <f t="shared" si="2"/>
        <v>2112</v>
      </c>
      <c r="H50" s="12" t="e">
        <f>ROUND((2*Pappe+Eingabe!$P$18+G50*$Q$4)/$Q$5,0)*$Q$5</f>
        <v>#DIV/0!</v>
      </c>
      <c r="J50" s="11">
        <f t="shared" si="3"/>
        <v>2832</v>
      </c>
      <c r="K50" s="12" t="e">
        <f>ROUND((2*Pappe+Eingabe!$P$18+J50*$Q$4)/$Q$5,0)*$Q$5</f>
        <v>#DIV/0!</v>
      </c>
      <c r="M50" s="11">
        <f t="shared" si="4"/>
        <v>3552</v>
      </c>
      <c r="N50" s="12" t="e">
        <f>ROUND((2*Pappe+Eingabe!$P$18+M50*$Q$4)/$Q$5,0)*$Q$5</f>
        <v>#DIV/0!</v>
      </c>
    </row>
    <row r="51" spans="1:14" ht="14" customHeight="1">
      <c r="A51" s="11">
        <f t="shared" si="0"/>
        <v>688</v>
      </c>
      <c r="B51" s="12" t="e">
        <f>ROUND((2*Pappe+Eingabe!$P$18+A51*$Q$4)/$Q$5,0)*$Q$5</f>
        <v>#DIV/0!</v>
      </c>
      <c r="D51" s="11">
        <f t="shared" si="1"/>
        <v>1408</v>
      </c>
      <c r="E51" s="12" t="e">
        <f>ROUND((2*Pappe+Eingabe!$P$18+D51*$Q$4)/$Q$5,0)*$Q$5</f>
        <v>#DIV/0!</v>
      </c>
      <c r="G51" s="11">
        <f t="shared" si="2"/>
        <v>2128</v>
      </c>
      <c r="H51" s="12" t="e">
        <f>ROUND((2*Pappe+Eingabe!$P$18+G51*$Q$4)/$Q$5,0)*$Q$5</f>
        <v>#DIV/0!</v>
      </c>
      <c r="J51" s="11">
        <f t="shared" si="3"/>
        <v>2848</v>
      </c>
      <c r="K51" s="12" t="e">
        <f>ROUND((2*Pappe+Eingabe!$P$18+J51*$Q$4)/$Q$5,0)*$Q$5</f>
        <v>#DIV/0!</v>
      </c>
      <c r="M51" s="11">
        <f t="shared" si="4"/>
        <v>3568</v>
      </c>
      <c r="N51" s="12" t="e">
        <f>ROUND((2*Pappe+Eingabe!$P$18+M51*$Q$4)/$Q$5,0)*$Q$5</f>
        <v>#DIV/0!</v>
      </c>
    </row>
    <row r="52" spans="1:14" ht="14" customHeight="1">
      <c r="A52" s="11">
        <f t="shared" si="0"/>
        <v>704</v>
      </c>
      <c r="B52" s="12" t="e">
        <f>ROUND((2*Pappe+Eingabe!$P$18+A52*$Q$4)/$Q$5,0)*$Q$5</f>
        <v>#DIV/0!</v>
      </c>
      <c r="D52" s="11">
        <f t="shared" si="1"/>
        <v>1424</v>
      </c>
      <c r="E52" s="12" t="e">
        <f>ROUND((2*Pappe+Eingabe!$P$18+D52*$Q$4)/$Q$5,0)*$Q$5</f>
        <v>#DIV/0!</v>
      </c>
      <c r="G52" s="11">
        <f t="shared" si="2"/>
        <v>2144</v>
      </c>
      <c r="H52" s="12" t="e">
        <f>ROUND((2*Pappe+Eingabe!$P$18+G52*$Q$4)/$Q$5,0)*$Q$5</f>
        <v>#DIV/0!</v>
      </c>
      <c r="J52" s="11">
        <f t="shared" si="3"/>
        <v>2864</v>
      </c>
      <c r="K52" s="12" t="e">
        <f>ROUND((2*Pappe+Eingabe!$P$18+J52*$Q$4)/$Q$5,0)*$Q$5</f>
        <v>#DIV/0!</v>
      </c>
      <c r="M52" s="11">
        <f t="shared" si="4"/>
        <v>3584</v>
      </c>
      <c r="N52" s="12" t="e">
        <f>ROUND((2*Pappe+Eingabe!$P$18+M52*$Q$4)/$Q$5,0)*$Q$5</f>
        <v>#DIV/0!</v>
      </c>
    </row>
    <row r="53" spans="1:14" ht="14" customHeight="1">
      <c r="A53" s="11">
        <f t="shared" si="0"/>
        <v>720</v>
      </c>
      <c r="B53" s="12" t="e">
        <f>ROUND((2*Pappe+Eingabe!$P$18+A53*$Q$4)/$Q$5,0)*$Q$5</f>
        <v>#DIV/0!</v>
      </c>
      <c r="D53" s="11">
        <f t="shared" si="1"/>
        <v>1440</v>
      </c>
      <c r="E53" s="12" t="e">
        <f>ROUND((2*Pappe+Eingabe!$P$18+D53*$Q$4)/$Q$5,0)*$Q$5</f>
        <v>#DIV/0!</v>
      </c>
      <c r="G53" s="11">
        <f t="shared" si="2"/>
        <v>2160</v>
      </c>
      <c r="H53" s="12" t="e">
        <f>ROUND((2*Pappe+Eingabe!$P$18+G53*$Q$4)/$Q$5,0)*$Q$5</f>
        <v>#DIV/0!</v>
      </c>
      <c r="J53" s="11">
        <f t="shared" si="3"/>
        <v>2880</v>
      </c>
      <c r="K53" s="12" t="e">
        <f>ROUND((2*Pappe+Eingabe!$P$18+J53*$Q$4)/$Q$5,0)*$Q$5</f>
        <v>#DIV/0!</v>
      </c>
      <c r="M53" s="11">
        <f t="shared" si="4"/>
        <v>3600</v>
      </c>
      <c r="N53" s="12" t="e">
        <f>ROUND((2*Pappe+Eingabe!$P$18+M53*$Q$4)/$Q$5,0)*$Q$5</f>
        <v>#DIV/0!</v>
      </c>
    </row>
    <row r="55" spans="1:14">
      <c r="A55" s="13" t="str">
        <f ca="1">CONCATENATE(txtSchrenzbreite," in mm")</f>
        <v>Schrenzbreite in mm</v>
      </c>
    </row>
  </sheetData>
  <sheetProtection sheet="1" objects="1" scenarios="1" selectLockedCells="1"/>
  <mergeCells count="1">
    <mergeCell ref="E2:G2"/>
  </mergeCells>
  <phoneticPr fontId="7" type="noConversion"/>
  <conditionalFormatting sqref="A9:A53 D9:D53 G9:G53 J9:J53 M9:M53">
    <cfRule type="expression" dxfId="2" priority="1" stopIfTrue="1">
      <formula>3&gt;B9</formula>
    </cfRule>
    <cfRule type="expression" dxfId="1" priority="2" stopIfTrue="1">
      <formula>65&lt;B9</formula>
    </cfRule>
  </conditionalFormatting>
  <conditionalFormatting sqref="N9:N53 B9:B53 H9:H53 K9:K53 E9:E53">
    <cfRule type="cellIs" dxfId="0" priority="3" stopIfTrue="1" operator="notBetween">
      <formula>3</formula>
      <formula>65</formula>
    </cfRule>
  </conditionalFormatting>
  <dataValidations count="2">
    <dataValidation type="list" allowBlank="1" showInputMessage="1" showErrorMessage="1" sqref="Q5">
      <formula1>"0,1,0,5"</formula1>
    </dataValidation>
    <dataValidation type="list" allowBlank="1" showInputMessage="1" showErrorMessage="1" sqref="E2:G2">
      <formula1>"16 (Standard),12 (Quantum),8 (Quantum)"</formula1>
    </dataValidation>
  </dataValidations>
  <pageMargins left="0.78740157480314965" right="0.39370078740157483" top="0.51181102362204722" bottom="0.82677165354330717" header="0.51181102362204722" footer="0.51181102362204722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3:C76"/>
  <sheetViews>
    <sheetView topLeftCell="A32" workbookViewId="0">
      <selection activeCell="AB7" sqref="AB7"/>
    </sheetView>
  </sheetViews>
  <sheetFormatPr baseColWidth="10" defaultColWidth="11.5" defaultRowHeight="12" x14ac:dyDescent="0"/>
  <cols>
    <col min="1" max="1" width="23.1640625" customWidth="1"/>
    <col min="2" max="2" width="22.83203125" bestFit="1" customWidth="1"/>
    <col min="3" max="3" width="44.1640625" customWidth="1"/>
  </cols>
  <sheetData>
    <row r="3" spans="1:3">
      <c r="A3">
        <f>MATCH(Eingabe!G2,Sprache!B3:P3,0)-1</f>
        <v>0</v>
      </c>
      <c r="B3" t="s">
        <v>1</v>
      </c>
      <c r="C3" t="s">
        <v>74</v>
      </c>
    </row>
    <row r="4" spans="1:3">
      <c r="A4" t="str">
        <f ca="1">OFFSET(B4,0,$A$3)</f>
        <v>Verlag</v>
      </c>
      <c r="B4" s="25" t="s">
        <v>75</v>
      </c>
      <c r="C4" s="25" t="s">
        <v>76</v>
      </c>
    </row>
    <row r="5" spans="1:3">
      <c r="A5" t="str">
        <f t="shared" ref="A5:A62" ca="1" si="0">OFFSET(B5,0,$A$3)</f>
        <v>Titel</v>
      </c>
      <c r="B5" t="s">
        <v>77</v>
      </c>
      <c r="C5" t="s">
        <v>78</v>
      </c>
    </row>
    <row r="6" spans="1:3">
      <c r="A6" t="str">
        <f t="shared" ca="1" si="0"/>
        <v>Format</v>
      </c>
      <c r="B6" t="s">
        <v>79</v>
      </c>
      <c r="C6" t="s">
        <v>80</v>
      </c>
    </row>
    <row r="7" spans="1:3">
      <c r="A7" t="str">
        <f t="shared" ca="1" si="0"/>
        <v>Breite</v>
      </c>
      <c r="B7" t="s">
        <v>81</v>
      </c>
      <c r="C7" t="s">
        <v>82</v>
      </c>
    </row>
    <row r="8" spans="1:3">
      <c r="A8" t="str">
        <f t="shared" ca="1" si="0"/>
        <v>Höhe</v>
      </c>
      <c r="B8" t="s">
        <v>83</v>
      </c>
      <c r="C8" t="s">
        <v>84</v>
      </c>
    </row>
    <row r="9" spans="1:3">
      <c r="A9" t="str">
        <f t="shared" ca="1" si="0"/>
        <v>Umfang</v>
      </c>
      <c r="B9" t="s">
        <v>85</v>
      </c>
      <c r="C9" t="s">
        <v>86</v>
      </c>
    </row>
    <row r="10" spans="1:3">
      <c r="A10" t="str">
        <f t="shared" ca="1" si="0"/>
        <v xml:space="preserve">Gewicht </v>
      </c>
      <c r="B10" t="s">
        <v>87</v>
      </c>
      <c r="C10" t="s">
        <v>88</v>
      </c>
    </row>
    <row r="11" spans="1:3">
      <c r="A11" t="str">
        <f t="shared" ca="1" si="0"/>
        <v>Volumen</v>
      </c>
      <c r="B11" t="s">
        <v>38</v>
      </c>
      <c r="C11" t="s">
        <v>89</v>
      </c>
    </row>
    <row r="12" spans="1:3">
      <c r="A12" t="str">
        <f t="shared" ca="1" si="0"/>
        <v>Blattstärke</v>
      </c>
      <c r="B12" t="s">
        <v>90</v>
      </c>
      <c r="C12" t="s">
        <v>91</v>
      </c>
    </row>
    <row r="13" spans="1:3">
      <c r="A13" t="str">
        <f t="shared" ca="1" si="0"/>
        <v>Material</v>
      </c>
      <c r="B13" t="s">
        <v>92</v>
      </c>
      <c r="C13" t="s">
        <v>93</v>
      </c>
    </row>
    <row r="14" spans="1:3">
      <c r="A14" t="str">
        <f t="shared" ca="1" si="0"/>
        <v>Textteil</v>
      </c>
      <c r="B14" t="s">
        <v>94</v>
      </c>
      <c r="C14" t="s">
        <v>95</v>
      </c>
    </row>
    <row r="15" spans="1:3">
      <c r="A15" t="str">
        <f t="shared" ca="1" si="0"/>
        <v>Bildteil</v>
      </c>
      <c r="B15" t="s">
        <v>96</v>
      </c>
      <c r="C15" t="s">
        <v>97</v>
      </c>
    </row>
    <row r="16" spans="1:3">
      <c r="A16" t="str">
        <f t="shared" ca="1" si="0"/>
        <v>Vorsatz</v>
      </c>
      <c r="B16" t="s">
        <v>67</v>
      </c>
      <c r="C16" t="s">
        <v>98</v>
      </c>
    </row>
    <row r="17" spans="1:3">
      <c r="A17" t="str">
        <f t="shared" ca="1" si="0"/>
        <v>Bindeart</v>
      </c>
      <c r="B17" t="s">
        <v>99</v>
      </c>
      <c r="C17" t="s">
        <v>100</v>
      </c>
    </row>
    <row r="18" spans="1:3">
      <c r="A18" t="str">
        <f t="shared" ca="1" si="0"/>
        <v>Seiten je Lage</v>
      </c>
      <c r="B18" t="s">
        <v>101</v>
      </c>
      <c r="C18" t="s">
        <v>102</v>
      </c>
    </row>
    <row r="19" spans="1:3">
      <c r="A19" t="str">
        <f t="shared" ca="1" si="0"/>
        <v>Klebebindung</v>
      </c>
      <c r="B19" t="s">
        <v>103</v>
      </c>
      <c r="C19" t="s">
        <v>104</v>
      </c>
    </row>
    <row r="20" spans="1:3">
      <c r="A20" t="str">
        <f t="shared" ca="1" si="0"/>
        <v>Fadenheftung</v>
      </c>
      <c r="B20" t="s">
        <v>105</v>
      </c>
      <c r="C20" t="s">
        <v>106</v>
      </c>
    </row>
    <row r="21" spans="1:3">
      <c r="A21" t="str">
        <f t="shared" ca="1" si="0"/>
        <v>Buchblock</v>
      </c>
      <c r="B21" t="s">
        <v>107</v>
      </c>
      <c r="C21" t="s">
        <v>108</v>
      </c>
    </row>
    <row r="22" spans="1:3">
      <c r="A22" t="str">
        <f t="shared" ca="1" si="0"/>
        <v>Broschuren</v>
      </c>
      <c r="B22" t="s">
        <v>109</v>
      </c>
      <c r="C22" t="s">
        <v>110</v>
      </c>
    </row>
    <row r="23" spans="1:3">
      <c r="A23" t="str">
        <f t="shared" ca="1" si="0"/>
        <v>Umschlag</v>
      </c>
      <c r="B23" t="s">
        <v>111</v>
      </c>
      <c r="C23" t="s">
        <v>112</v>
      </c>
    </row>
    <row r="24" spans="1:3">
      <c r="A24" t="str">
        <f t="shared" ca="1" si="0"/>
        <v>Taschenbuch</v>
      </c>
      <c r="B24" t="s">
        <v>113</v>
      </c>
      <c r="C24" t="s">
        <v>114</v>
      </c>
    </row>
    <row r="25" spans="1:3">
      <c r="A25" t="str">
        <f t="shared" ca="1" si="0"/>
        <v>Rückenbreite</v>
      </c>
      <c r="B25" t="s">
        <v>115</v>
      </c>
      <c r="C25" t="s">
        <v>116</v>
      </c>
    </row>
    <row r="26" spans="1:3">
      <c r="A26" t="str">
        <f t="shared" ca="1" si="0"/>
        <v>Hardcover</v>
      </c>
      <c r="B26" t="s">
        <v>117</v>
      </c>
      <c r="C26" t="s">
        <v>118</v>
      </c>
    </row>
    <row r="27" spans="1:3">
      <c r="A27" t="str">
        <f t="shared" ca="1" si="0"/>
        <v>Pappe</v>
      </c>
      <c r="B27" t="s">
        <v>119</v>
      </c>
      <c r="C27" t="s">
        <v>120</v>
      </c>
    </row>
    <row r="28" spans="1:3">
      <c r="A28" t="str">
        <f t="shared" ca="1" si="0"/>
        <v>rund</v>
      </c>
      <c r="B28" t="s">
        <v>31</v>
      </c>
      <c r="C28" t="s">
        <v>121</v>
      </c>
    </row>
    <row r="29" spans="1:3">
      <c r="A29" t="str">
        <f t="shared" ca="1" si="0"/>
        <v>SmartCover</v>
      </c>
      <c r="B29" t="s">
        <v>122</v>
      </c>
      <c r="C29" t="s">
        <v>123</v>
      </c>
    </row>
    <row r="30" spans="1:3">
      <c r="A30" t="str">
        <f t="shared" ca="1" si="0"/>
        <v>Gesamtbreite</v>
      </c>
      <c r="B30" t="s">
        <v>124</v>
      </c>
      <c r="C30" t="s">
        <v>125</v>
      </c>
    </row>
    <row r="31" spans="1:3">
      <c r="A31" t="str">
        <f t="shared" ca="1" si="0"/>
        <v>Aufriss</v>
      </c>
      <c r="B31" t="s">
        <v>126</v>
      </c>
      <c r="C31" t="s">
        <v>127</v>
      </c>
    </row>
    <row r="32" spans="1:3">
      <c r="A32" t="str">
        <f t="shared" ca="1" si="0"/>
        <v>Kartonumschlag</v>
      </c>
      <c r="B32" t="s">
        <v>128</v>
      </c>
      <c r="C32" t="s">
        <v>112</v>
      </c>
    </row>
    <row r="33" spans="1:3">
      <c r="A33" t="str">
        <f t="shared" ca="1" si="0"/>
        <v>Papier</v>
      </c>
      <c r="B33" t="s">
        <v>129</v>
      </c>
      <c r="C33" t="s">
        <v>130</v>
      </c>
    </row>
    <row r="34" spans="1:3">
      <c r="A34" t="str">
        <f t="shared" ca="1" si="0"/>
        <v>Gesamthöhe</v>
      </c>
      <c r="B34" t="s">
        <v>131</v>
      </c>
      <c r="C34" t="s">
        <v>132</v>
      </c>
    </row>
    <row r="35" spans="1:3">
      <c r="A35" t="str">
        <f t="shared" ca="1" si="0"/>
        <v>Beschnittzugabe ringsrum</v>
      </c>
      <c r="B35" t="s">
        <v>133</v>
      </c>
      <c r="C35" t="s">
        <v>134</v>
      </c>
    </row>
    <row r="36" spans="1:3">
      <c r="A36" t="str">
        <f t="shared" ca="1" si="0"/>
        <v>keine Klappe</v>
      </c>
      <c r="B36" t="s">
        <v>135</v>
      </c>
      <c r="C36" t="s">
        <v>136</v>
      </c>
    </row>
    <row r="37" spans="1:3">
      <c r="A37" t="str">
        <f t="shared" ca="1" si="0"/>
        <v>Klappenbroschur</v>
      </c>
      <c r="B37" t="s">
        <v>137</v>
      </c>
      <c r="C37" t="s">
        <v>138</v>
      </c>
    </row>
    <row r="38" spans="1:3">
      <c r="A38" t="str">
        <f t="shared" ca="1" si="0"/>
        <v>Kantenumlauf</v>
      </c>
      <c r="B38" t="s">
        <v>139</v>
      </c>
      <c r="C38" t="s">
        <v>140</v>
      </c>
    </row>
    <row r="39" spans="1:3">
      <c r="A39" t="str">
        <f t="shared" ca="1" si="0"/>
        <v>Formatbreite</v>
      </c>
      <c r="B39" t="s">
        <v>141</v>
      </c>
      <c r="C39" t="s">
        <v>142</v>
      </c>
    </row>
    <row r="40" spans="1:3">
      <c r="A40" t="str">
        <f t="shared" ca="1" si="0"/>
        <v>Formathöhe</v>
      </c>
      <c r="B40" t="s">
        <v>143</v>
      </c>
      <c r="C40" t="s">
        <v>144</v>
      </c>
    </row>
    <row r="41" spans="1:3">
      <c r="A41" t="str">
        <f t="shared" ca="1" si="0"/>
        <v>Schutzumschlag</v>
      </c>
      <c r="B41" t="s">
        <v>145</v>
      </c>
      <c r="C41" t="s">
        <v>146</v>
      </c>
    </row>
    <row r="42" spans="1:3">
      <c r="A42" t="str">
        <f t="shared" ca="1" si="0"/>
        <v>Bezug</v>
      </c>
      <c r="B42" t="s">
        <v>147</v>
      </c>
      <c r="C42" t="s">
        <v>148</v>
      </c>
    </row>
    <row r="43" spans="1:3">
      <c r="A43" t="str">
        <f t="shared" ca="1" si="0"/>
        <v>Falz</v>
      </c>
      <c r="B43" t="s">
        <v>149</v>
      </c>
      <c r="C43" t="s">
        <v>150</v>
      </c>
    </row>
    <row r="44" spans="1:3">
      <c r="A44" t="str">
        <f t="shared" ca="1" si="0"/>
        <v>einschlagen</v>
      </c>
      <c r="B44" t="s">
        <v>151</v>
      </c>
      <c r="C44" t="s">
        <v>152</v>
      </c>
    </row>
    <row r="45" spans="1:3">
      <c r="A45" t="str">
        <f t="shared" ca="1" si="0"/>
        <v xml:space="preserve">Unterlappung </v>
      </c>
      <c r="B45" t="s">
        <v>153</v>
      </c>
      <c r="C45" t="s">
        <v>154</v>
      </c>
    </row>
    <row r="46" spans="1:3">
      <c r="A46" t="str">
        <f t="shared" ca="1" si="0"/>
        <v>Sichtbarer Leinenstreifen</v>
      </c>
      <c r="B46" t="s">
        <v>155</v>
      </c>
      <c r="C46" t="s">
        <v>156</v>
      </c>
    </row>
    <row r="47" spans="1:3">
      <c r="A47" t="str">
        <f t="shared" ca="1" si="0"/>
        <v>Mindestens</v>
      </c>
      <c r="B47" t="s">
        <v>157</v>
      </c>
      <c r="C47" t="s">
        <v>158</v>
      </c>
    </row>
    <row r="48" spans="1:3">
      <c r="A48" t="str">
        <f t="shared" ca="1" si="0"/>
        <v>Text</v>
      </c>
      <c r="B48" t="s">
        <v>159</v>
      </c>
      <c r="C48" t="s">
        <v>160</v>
      </c>
    </row>
    <row r="49" spans="1:3">
      <c r="A49" t="str">
        <f t="shared" ca="1" si="0"/>
        <v xml:space="preserve">Karton </v>
      </c>
      <c r="B49" t="s">
        <v>161</v>
      </c>
      <c r="C49" t="s">
        <v>162</v>
      </c>
    </row>
    <row r="50" spans="1:3">
      <c r="A50" t="str">
        <f t="shared" ca="1" si="0"/>
        <v>Schrenzbreite</v>
      </c>
      <c r="B50" t="s">
        <v>163</v>
      </c>
      <c r="C50" t="s">
        <v>164</v>
      </c>
    </row>
    <row r="51" spans="1:3">
      <c r="A51" t="str">
        <f t="shared" ca="1" si="0"/>
        <v>Schrenz</v>
      </c>
      <c r="B51" t="s">
        <v>165</v>
      </c>
      <c r="C51" t="s">
        <v>166</v>
      </c>
    </row>
    <row r="52" spans="1:3">
      <c r="A52" t="str">
        <f t="shared" ca="1" si="0"/>
        <v>gerade</v>
      </c>
      <c r="B52" t="s">
        <v>167</v>
      </c>
      <c r="C52" t="s">
        <v>168</v>
      </c>
    </row>
    <row r="53" spans="1:3">
      <c r="A53" t="str">
        <f t="shared" ca="1" si="0"/>
        <v>PVC-Decke</v>
      </c>
      <c r="B53" t="s">
        <v>169</v>
      </c>
      <c r="C53" s="25" t="s">
        <v>170</v>
      </c>
    </row>
    <row r="54" spans="1:3">
      <c r="A54" t="str">
        <f t="shared" ca="1" si="0"/>
        <v>PVC-Materialstärke</v>
      </c>
      <c r="B54" t="s">
        <v>171</v>
      </c>
      <c r="C54" t="s">
        <v>172</v>
      </c>
    </row>
    <row r="55" spans="1:3">
      <c r="A55" t="str">
        <f t="shared" ca="1" si="0"/>
        <v>Standard</v>
      </c>
      <c r="B55" t="s">
        <v>173</v>
      </c>
      <c r="C55" t="s">
        <v>174</v>
      </c>
    </row>
    <row r="56" spans="1:3">
      <c r="A56" t="str">
        <f t="shared" ca="1" si="0"/>
        <v>Seiten</v>
      </c>
      <c r="B56" s="25" t="s">
        <v>175</v>
      </c>
      <c r="C56" s="25" t="s">
        <v>176</v>
      </c>
    </row>
    <row r="57" spans="1:3">
      <c r="A57" t="str">
        <f t="shared" ca="1" si="0"/>
        <v>Klappenbreite</v>
      </c>
      <c r="B57" s="25" t="s">
        <v>177</v>
      </c>
      <c r="C57" s="25" t="s">
        <v>178</v>
      </c>
    </row>
    <row r="58" spans="1:3">
      <c r="A58" t="str">
        <f t="shared" ca="1" si="0"/>
        <v>Klappenüberstand</v>
      </c>
      <c r="B58" t="s">
        <v>179</v>
      </c>
      <c r="C58" s="25" t="s">
        <v>180</v>
      </c>
    </row>
    <row r="59" spans="1:3">
      <c r="A59" t="str">
        <f t="shared" ca="1" si="0"/>
        <v>vorne</v>
      </c>
      <c r="B59" s="25" t="s">
        <v>181</v>
      </c>
      <c r="C59" s="25" t="s">
        <v>182</v>
      </c>
    </row>
    <row r="60" spans="1:3">
      <c r="A60" t="str">
        <f t="shared" ca="1" si="0"/>
        <v>hinten</v>
      </c>
      <c r="B60" s="25" t="s">
        <v>183</v>
      </c>
      <c r="C60" s="25" t="s">
        <v>184</v>
      </c>
    </row>
    <row r="61" spans="1:3">
      <c r="A61" t="str">
        <f t="shared" ca="1" si="0"/>
        <v>Überstand</v>
      </c>
      <c r="B61" s="25" t="s">
        <v>185</v>
      </c>
      <c r="C61" s="25" t="s">
        <v>186</v>
      </c>
    </row>
    <row r="62" spans="1:3">
      <c r="A62" t="str">
        <f t="shared" ca="1" si="0"/>
        <v>negative Werte = zurückversetzte Klappen</v>
      </c>
      <c r="B62" s="25" t="s">
        <v>187</v>
      </c>
      <c r="C62" s="25" t="s">
        <v>188</v>
      </c>
    </row>
    <row r="63" spans="1:3">
      <c r="A63" t="str">
        <f t="shared" ref="A63:A76" ca="1" si="1">OFFSET(B63,0,$A$3)</f>
        <v>Kantenüberstand</v>
      </c>
      <c r="B63" t="s">
        <v>189</v>
      </c>
      <c r="C63" s="25" t="s">
        <v>186</v>
      </c>
    </row>
    <row r="64" spans="1:3">
      <c r="A64" t="str">
        <f t="shared" ca="1" si="1"/>
        <v>oben/unten</v>
      </c>
      <c r="B64" s="25" t="s">
        <v>190</v>
      </c>
      <c r="C64" s="25" t="s">
        <v>191</v>
      </c>
    </row>
    <row r="65" spans="1:3">
      <c r="A65" t="str">
        <f t="shared" ca="1" si="1"/>
        <v>Pappen</v>
      </c>
      <c r="B65" s="25" t="s">
        <v>192</v>
      </c>
      <c r="C65" s="25" t="s">
        <v>193</v>
      </c>
    </row>
    <row r="66" spans="1:3">
      <c r="A66" t="str">
        <f t="shared" ca="1" si="1"/>
        <v>Rücken</v>
      </c>
      <c r="B66" s="25" t="s">
        <v>194</v>
      </c>
      <c r="C66" s="25" t="s">
        <v>195</v>
      </c>
    </row>
    <row r="67" spans="1:3">
      <c r="A67" t="str">
        <f t="shared" ca="1" si="1"/>
        <v>Klappe</v>
      </c>
      <c r="B67" s="25" t="s">
        <v>196</v>
      </c>
      <c r="C67" s="25" t="s">
        <v>197</v>
      </c>
    </row>
    <row r="68" spans="1:3">
      <c r="A68" t="str">
        <f t="shared" ca="1" si="1"/>
        <v>Rückeneinlage</v>
      </c>
      <c r="B68" t="s">
        <v>198</v>
      </c>
      <c r="C68" s="25" t="s">
        <v>116</v>
      </c>
    </row>
    <row r="69" spans="1:3">
      <c r="A69" t="str">
        <f t="shared" ca="1" si="1"/>
        <v>Kante</v>
      </c>
      <c r="B69" t="s">
        <v>199</v>
      </c>
      <c r="C69" s="25" t="s">
        <v>186</v>
      </c>
    </row>
    <row r="70" spans="1:3">
      <c r="A70" t="str">
        <f t="shared" ca="1" si="1"/>
        <v>Einschlag_ringsum</v>
      </c>
      <c r="B70" t="s">
        <v>200</v>
      </c>
      <c r="C70" s="25" t="s">
        <v>201</v>
      </c>
    </row>
    <row r="71" spans="1:3">
      <c r="A71" t="str">
        <f t="shared" ca="1" si="1"/>
        <v>inkl.</v>
      </c>
      <c r="B71" s="25" t="s">
        <v>202</v>
      </c>
      <c r="C71" s="25" t="s">
        <v>203</v>
      </c>
    </row>
    <row r="72" spans="1:3">
      <c r="A72" t="str">
        <f t="shared" ca="1" si="1"/>
        <v>Schweißnaht</v>
      </c>
      <c r="B72" t="s">
        <v>204</v>
      </c>
      <c r="C72" s="25" t="s">
        <v>205</v>
      </c>
    </row>
    <row r="73" spans="1:3">
      <c r="A73" t="str">
        <f t="shared" ca="1" si="1"/>
        <v>Schrittweite_in_Seiten</v>
      </c>
      <c r="B73" s="25" t="s">
        <v>206</v>
      </c>
      <c r="C73" s="25" t="s">
        <v>207</v>
      </c>
    </row>
    <row r="74" spans="1:3">
      <c r="A74" t="str">
        <f t="shared" ca="1" si="1"/>
        <v>Blockbreite</v>
      </c>
      <c r="B74" s="25" t="s">
        <v>208</v>
      </c>
      <c r="C74" s="25" t="s">
        <v>209</v>
      </c>
    </row>
    <row r="75" spans="1:3">
      <c r="A75" t="str">
        <f t="shared" ca="1" si="1"/>
        <v>Barbara: Klappenbroschur mit bündigen Klappen + Wickelcover</v>
      </c>
      <c r="B75" t="s">
        <v>210</v>
      </c>
      <c r="C75" s="25" t="s">
        <v>211</v>
      </c>
    </row>
    <row r="76" spans="1:3">
      <c r="A76" t="str">
        <f t="shared" ca="1" si="1"/>
        <v>Halbleinenband</v>
      </c>
      <c r="B76" t="s">
        <v>212</v>
      </c>
      <c r="C76" s="25" t="s">
        <v>213</v>
      </c>
    </row>
  </sheetData>
  <sheetProtection sheet="1" objects="1" scenarios="1"/>
  <pageMargins left="0.7" right="0.7" top="0.78740157499999996" bottom="0.78740157499999996" header="0.3" footer="0.3"/>
  <pageSetup paperSize="9" scale="97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 enableFormatConditionsCalculation="0">
    <pageSetUpPr fitToPage="1"/>
  </sheetPr>
  <dimension ref="A1:Z68"/>
  <sheetViews>
    <sheetView workbookViewId="0">
      <selection activeCell="A39" sqref="A39:XFD39"/>
    </sheetView>
  </sheetViews>
  <sheetFormatPr baseColWidth="10" defaultColWidth="11.5" defaultRowHeight="12" x14ac:dyDescent="0"/>
  <cols>
    <col min="1" max="1" width="30.83203125" customWidth="1"/>
    <col min="2" max="2" width="39.5" customWidth="1"/>
    <col min="3" max="3" width="8.5" customWidth="1"/>
    <col min="4" max="4" width="9" customWidth="1"/>
    <col min="5" max="6" width="5.6640625" customWidth="1"/>
    <col min="7" max="7" width="9.6640625" customWidth="1"/>
    <col min="8" max="8" width="22" style="4" customWidth="1"/>
    <col min="9" max="9" width="28.1640625" customWidth="1"/>
    <col min="10" max="10" width="3.5" hidden="1" customWidth="1"/>
    <col min="11" max="13" width="0" hidden="1" customWidth="1"/>
    <col min="14" max="14" width="11.5" hidden="1" customWidth="1"/>
    <col min="15" max="15" width="28.1640625" hidden="1" customWidth="1"/>
    <col min="16" max="16" width="23.33203125" hidden="1" customWidth="1"/>
    <col min="17" max="26" width="11.5" hidden="1" customWidth="1"/>
  </cols>
  <sheetData>
    <row r="1" spans="1:16">
      <c r="A1" s="1" t="s">
        <v>35</v>
      </c>
      <c r="B1" s="1" t="s">
        <v>36</v>
      </c>
      <c r="C1" s="1" t="s">
        <v>37</v>
      </c>
      <c r="D1" s="1" t="s">
        <v>38</v>
      </c>
      <c r="E1" s="1" t="s">
        <v>39</v>
      </c>
      <c r="F1" s="1" t="s">
        <v>40</v>
      </c>
      <c r="G1" s="1" t="s">
        <v>9</v>
      </c>
      <c r="H1" s="3" t="s">
        <v>41</v>
      </c>
      <c r="I1" s="1" t="s">
        <v>42</v>
      </c>
      <c r="K1" t="s">
        <v>43</v>
      </c>
      <c r="P1" t="s">
        <v>44</v>
      </c>
    </row>
    <row r="2" spans="1:16">
      <c r="A2" s="5" t="str">
        <f t="shared" ref="A2:A38" si="0">CONCATENATE(B2,C2,D2)</f>
        <v>00_Chromaberechnung</v>
      </c>
      <c r="B2" s="26" t="s">
        <v>18</v>
      </c>
      <c r="C2" s="5"/>
      <c r="D2" s="5"/>
      <c r="E2" s="5">
        <f t="shared" ref="E2:E38" si="1">ROW()-1</f>
        <v>1</v>
      </c>
      <c r="F2" s="5">
        <f t="shared" ref="F2:F37" si="2">IF(B2=B1,F1,F1+1)</f>
        <v>1</v>
      </c>
      <c r="G2" s="5">
        <v>0</v>
      </c>
      <c r="H2" s="5"/>
      <c r="I2" s="5"/>
      <c r="O2" t="str">
        <f>Liste1[[#This Row],[Sorte]]</f>
        <v>00_Chromaberechnung</v>
      </c>
      <c r="P2" t="s">
        <v>18</v>
      </c>
    </row>
    <row r="3" spans="1:16">
      <c r="A3" s="5" t="str">
        <f t="shared" si="0"/>
        <v>Bilderdruck</v>
      </c>
      <c r="B3" s="5" t="s">
        <v>45</v>
      </c>
      <c r="C3" s="5"/>
      <c r="D3" s="5"/>
      <c r="E3" s="5">
        <f t="shared" si="1"/>
        <v>2</v>
      </c>
      <c r="F3" s="5">
        <f t="shared" si="2"/>
        <v>2</v>
      </c>
      <c r="G3" s="5">
        <v>0</v>
      </c>
      <c r="H3" s="5" t="s">
        <v>46</v>
      </c>
      <c r="I3" s="5"/>
      <c r="K3" t="s">
        <v>47</v>
      </c>
      <c r="O3" t="str">
        <f>IF(Liste1[[#This Row],[0]]=F2,"",Liste1[[#This Row],[Sorte]])</f>
        <v>Bilderdruck</v>
      </c>
      <c r="P3" t="s">
        <v>45</v>
      </c>
    </row>
    <row r="4" spans="1:16">
      <c r="A4" s="5" t="str">
        <f t="shared" si="0"/>
        <v>Creamy TB Papier</v>
      </c>
      <c r="B4" s="5" t="s">
        <v>48</v>
      </c>
      <c r="C4" s="5"/>
      <c r="D4" s="5"/>
      <c r="E4" s="5">
        <f t="shared" si="1"/>
        <v>3</v>
      </c>
      <c r="F4" s="5">
        <f t="shared" si="2"/>
        <v>3</v>
      </c>
      <c r="G4" s="5">
        <v>0</v>
      </c>
      <c r="H4" s="5"/>
      <c r="I4" s="5"/>
      <c r="K4" t="s">
        <v>49</v>
      </c>
      <c r="O4" t="str">
        <f>IF(Liste1[[#This Row],[0]]=F3,"",Liste1[[#This Row],[Sorte]])</f>
        <v>Creamy TB Papier</v>
      </c>
      <c r="P4" t="s">
        <v>48</v>
      </c>
    </row>
    <row r="5" spans="1:16">
      <c r="A5" s="5" t="str">
        <f t="shared" si="0"/>
        <v>Enso Classic</v>
      </c>
      <c r="B5" s="5" t="s">
        <v>50</v>
      </c>
      <c r="C5" s="5"/>
      <c r="D5" s="5"/>
      <c r="E5" s="5">
        <f t="shared" si="1"/>
        <v>4</v>
      </c>
      <c r="F5" s="5">
        <f t="shared" si="2"/>
        <v>4</v>
      </c>
      <c r="G5" s="5">
        <v>1</v>
      </c>
      <c r="H5" s="5"/>
      <c r="I5" s="5"/>
      <c r="K5" t="s">
        <v>51</v>
      </c>
      <c r="O5" t="str">
        <f>IF(Liste1[[#This Row],[0]]=F4,"",Liste1[[#This Row],[Sorte]])</f>
        <v>Enso Classic</v>
      </c>
      <c r="P5" t="s">
        <v>50</v>
      </c>
    </row>
    <row r="6" spans="1:16">
      <c r="A6" s="5" t="str">
        <f t="shared" si="0"/>
        <v>Enviro</v>
      </c>
      <c r="B6" s="5" t="s">
        <v>52</v>
      </c>
      <c r="C6" s="5"/>
      <c r="D6" s="5"/>
      <c r="E6" s="5">
        <f t="shared" si="1"/>
        <v>5</v>
      </c>
      <c r="F6" s="5">
        <f t="shared" si="2"/>
        <v>5</v>
      </c>
      <c r="G6" s="5">
        <v>0</v>
      </c>
      <c r="H6" s="5"/>
      <c r="I6" s="5"/>
      <c r="O6" t="str">
        <f>IF(Liste1[[#This Row],[0]]=F5,"",Liste1[[#This Row],[Sorte]])</f>
        <v>Enviro</v>
      </c>
      <c r="P6" t="s">
        <v>52</v>
      </c>
    </row>
    <row r="7" spans="1:16">
      <c r="A7" s="5" t="str">
        <f t="shared" si="0"/>
        <v>Holmen Book Cream</v>
      </c>
      <c r="B7" s="5" t="s">
        <v>53</v>
      </c>
      <c r="C7" s="5"/>
      <c r="D7" s="5"/>
      <c r="E7" s="5">
        <f t="shared" si="1"/>
        <v>6</v>
      </c>
      <c r="F7" s="5">
        <f t="shared" si="2"/>
        <v>6</v>
      </c>
      <c r="G7" s="5">
        <v>1</v>
      </c>
      <c r="H7" s="5" t="s">
        <v>46</v>
      </c>
      <c r="I7" s="5"/>
      <c r="O7" t="str">
        <f>IF(Liste1[[#This Row],[0]]=F6,"",Liste1[[#This Row],[Sorte]])</f>
        <v>Holmen Book Cream</v>
      </c>
      <c r="P7" t="s">
        <v>53</v>
      </c>
    </row>
    <row r="8" spans="1:16">
      <c r="A8" s="5" t="str">
        <f t="shared" si="0"/>
        <v>Holmen Book Cream522</v>
      </c>
      <c r="B8" s="5" t="s">
        <v>53</v>
      </c>
      <c r="C8" s="5">
        <v>52</v>
      </c>
      <c r="D8" s="5">
        <v>2</v>
      </c>
      <c r="E8" s="5">
        <f t="shared" si="1"/>
        <v>7</v>
      </c>
      <c r="F8" s="5">
        <f t="shared" si="2"/>
        <v>6</v>
      </c>
      <c r="G8" s="5">
        <v>1</v>
      </c>
      <c r="H8" s="5" t="s">
        <v>46</v>
      </c>
      <c r="I8" s="5"/>
      <c r="O8" t="str">
        <f>IF(Liste1[[#This Row],[0]]=F7,"",Liste1[[#This Row],[Sorte]])</f>
        <v/>
      </c>
      <c r="P8" t="s">
        <v>54</v>
      </c>
    </row>
    <row r="9" spans="1:16">
      <c r="A9" s="5" t="str">
        <f t="shared" si="0"/>
        <v>Holmen Book Cream601,6</v>
      </c>
      <c r="B9" s="5" t="s">
        <v>53</v>
      </c>
      <c r="C9" s="5">
        <v>60</v>
      </c>
      <c r="D9" s="5">
        <v>1.6</v>
      </c>
      <c r="E9" s="5">
        <f t="shared" si="1"/>
        <v>8</v>
      </c>
      <c r="F9" s="5">
        <f t="shared" si="2"/>
        <v>6</v>
      </c>
      <c r="G9" s="5">
        <v>1.05</v>
      </c>
      <c r="H9" s="5" t="s">
        <v>46</v>
      </c>
      <c r="I9" s="5"/>
      <c r="O9" t="str">
        <f>IF(Liste1[[#This Row],[0]]=F8,"",Liste1[[#This Row],[Sorte]])</f>
        <v/>
      </c>
      <c r="P9" t="s">
        <v>55</v>
      </c>
    </row>
    <row r="10" spans="1:16">
      <c r="A10" s="5" t="str">
        <f t="shared" si="0"/>
        <v>Holmen Book Cream801,6</v>
      </c>
      <c r="B10" s="5" t="s">
        <v>53</v>
      </c>
      <c r="C10" s="5">
        <v>80</v>
      </c>
      <c r="D10" s="5">
        <v>1.6</v>
      </c>
      <c r="E10" s="5">
        <f t="shared" si="1"/>
        <v>9</v>
      </c>
      <c r="F10" s="5">
        <f t="shared" si="2"/>
        <v>6</v>
      </c>
      <c r="G10" s="5">
        <v>1.04</v>
      </c>
      <c r="H10" s="5" t="s">
        <v>46</v>
      </c>
      <c r="I10" s="5"/>
      <c r="O10" t="str">
        <f>IF(Liste1[[#This Row],[0]]=F9,"",Liste1[[#This Row],[Sorte]])</f>
        <v/>
      </c>
      <c r="P10" t="s">
        <v>56</v>
      </c>
    </row>
    <row r="11" spans="1:16">
      <c r="A11" s="5" t="str">
        <f t="shared" si="0"/>
        <v>Holmen Book White</v>
      </c>
      <c r="B11" s="26" t="s">
        <v>54</v>
      </c>
      <c r="C11" s="5"/>
      <c r="D11" s="5"/>
      <c r="E11" s="5">
        <f t="shared" si="1"/>
        <v>10</v>
      </c>
      <c r="F11" s="5">
        <f t="shared" si="2"/>
        <v>7</v>
      </c>
      <c r="G11" s="5">
        <v>0</v>
      </c>
      <c r="H11" s="5" t="s">
        <v>46</v>
      </c>
      <c r="I11" s="5"/>
      <c r="O11" t="str">
        <f>IF(Liste1[[#This Row],[0]]=F10,"",Liste1[[#This Row],[Sorte]])</f>
        <v>Holmen Book White</v>
      </c>
      <c r="P11" t="s">
        <v>57</v>
      </c>
    </row>
    <row r="12" spans="1:16">
      <c r="A12" s="5" t="str">
        <f t="shared" si="0"/>
        <v>Holmen Book White702</v>
      </c>
      <c r="B12" s="26" t="s">
        <v>54</v>
      </c>
      <c r="C12" s="5">
        <v>70</v>
      </c>
      <c r="D12" s="5">
        <v>2</v>
      </c>
      <c r="E12" s="5">
        <f t="shared" si="1"/>
        <v>11</v>
      </c>
      <c r="F12" s="5">
        <f t="shared" si="2"/>
        <v>7</v>
      </c>
      <c r="G12" s="5">
        <v>0.97</v>
      </c>
      <c r="H12" s="5" t="s">
        <v>46</v>
      </c>
      <c r="I12" s="5"/>
      <c r="O12" t="str">
        <f>IF(Liste1[[#This Row],[0]]=F11,"",Liste1[[#This Row],[Sorte]])</f>
        <v/>
      </c>
      <c r="P12" t="s">
        <v>15</v>
      </c>
    </row>
    <row r="13" spans="1:16">
      <c r="A13" s="5" t="str">
        <f t="shared" si="0"/>
        <v>Lux Cream</v>
      </c>
      <c r="B13" s="5" t="s">
        <v>55</v>
      </c>
      <c r="C13" s="5"/>
      <c r="D13" s="5"/>
      <c r="E13" s="5">
        <f t="shared" si="1"/>
        <v>12</v>
      </c>
      <c r="F13" s="5">
        <f t="shared" si="2"/>
        <v>8</v>
      </c>
      <c r="G13" s="5">
        <v>0.98</v>
      </c>
      <c r="H13" s="5"/>
      <c r="I13" s="5"/>
      <c r="O13" t="str">
        <f>IF(Liste1[[#This Row],[0]]=F12,"",Liste1[[#This Row],[Sorte]])</f>
        <v>Lux Cream</v>
      </c>
      <c r="P13" t="s">
        <v>58</v>
      </c>
    </row>
    <row r="14" spans="1:16">
      <c r="A14" s="5" t="str">
        <f t="shared" si="0"/>
        <v>Lux Cream601,8</v>
      </c>
      <c r="B14" s="5" t="s">
        <v>55</v>
      </c>
      <c r="C14" s="5">
        <v>60</v>
      </c>
      <c r="D14" s="5">
        <v>1.8</v>
      </c>
      <c r="E14" s="5">
        <f t="shared" si="1"/>
        <v>13</v>
      </c>
      <c r="F14" s="5">
        <f t="shared" si="2"/>
        <v>8</v>
      </c>
      <c r="G14" s="5">
        <v>0</v>
      </c>
      <c r="H14" s="5"/>
      <c r="I14" s="5"/>
      <c r="O14" t="str">
        <f>IF(Liste1[[#This Row],[0]]=F13,"",Liste1[[#This Row],[Sorte]])</f>
        <v/>
      </c>
      <c r="P14" t="s">
        <v>59</v>
      </c>
    </row>
    <row r="15" spans="1:16">
      <c r="A15" s="5" t="str">
        <f t="shared" si="0"/>
        <v>LuxoArt Samt</v>
      </c>
      <c r="B15" s="26" t="s">
        <v>56</v>
      </c>
      <c r="C15" s="5"/>
      <c r="D15" s="5"/>
      <c r="E15" s="5">
        <f t="shared" si="1"/>
        <v>14</v>
      </c>
      <c r="F15" s="5">
        <f t="shared" si="2"/>
        <v>9</v>
      </c>
      <c r="G15" s="5">
        <v>0</v>
      </c>
      <c r="H15" s="5"/>
      <c r="I15" s="5"/>
      <c r="O15" t="str">
        <f>IF(Liste1[[#This Row],[0]]=F14,"",Liste1[[#This Row],[Sorte]])</f>
        <v>LuxoArt Samt</v>
      </c>
      <c r="P15" t="s">
        <v>60</v>
      </c>
    </row>
    <row r="16" spans="1:16">
      <c r="A16" s="5" t="str">
        <f t="shared" si="0"/>
        <v>Munken Premium Cream</v>
      </c>
      <c r="B16" s="5" t="s">
        <v>57</v>
      </c>
      <c r="C16" s="5"/>
      <c r="D16" s="5"/>
      <c r="E16" s="5">
        <f t="shared" si="1"/>
        <v>15</v>
      </c>
      <c r="F16" s="5">
        <f t="shared" si="2"/>
        <v>10</v>
      </c>
      <c r="G16" s="5">
        <v>0</v>
      </c>
      <c r="H16" s="5" t="s">
        <v>46</v>
      </c>
      <c r="I16" s="5"/>
      <c r="O16" t="str">
        <f>IF(Liste1[[#This Row],[0]]=F15,"",Liste1[[#This Row],[Sorte]])</f>
        <v>Munken Premium Cream</v>
      </c>
      <c r="P16" t="s">
        <v>61</v>
      </c>
    </row>
    <row r="17" spans="1:16">
      <c r="A17" s="5" t="str">
        <f t="shared" si="0"/>
        <v>Munken Premium Cream1001,75</v>
      </c>
      <c r="B17" s="5" t="s">
        <v>57</v>
      </c>
      <c r="C17" s="5">
        <v>100</v>
      </c>
      <c r="D17" s="5">
        <v>1.75</v>
      </c>
      <c r="E17" s="5">
        <f t="shared" si="1"/>
        <v>16</v>
      </c>
      <c r="F17" s="5">
        <f t="shared" si="2"/>
        <v>10</v>
      </c>
      <c r="G17" s="5">
        <v>1</v>
      </c>
      <c r="H17" s="5" t="s">
        <v>46</v>
      </c>
      <c r="I17" s="5"/>
      <c r="O17" t="str">
        <f>IF(Liste1[[#This Row],[0]]=F16,"",Liste1[[#This Row],[Sorte]])</f>
        <v/>
      </c>
      <c r="P17" t="s">
        <v>62</v>
      </c>
    </row>
    <row r="18" spans="1:16">
      <c r="A18" s="5" t="str">
        <f t="shared" si="0"/>
        <v>Munken Premium Cream1001,95</v>
      </c>
      <c r="B18" s="5" t="s">
        <v>57</v>
      </c>
      <c r="C18" s="5">
        <v>100</v>
      </c>
      <c r="D18" s="5">
        <v>1.95</v>
      </c>
      <c r="E18" s="5">
        <f t="shared" si="1"/>
        <v>17</v>
      </c>
      <c r="F18" s="5">
        <f t="shared" si="2"/>
        <v>10</v>
      </c>
      <c r="G18" s="5">
        <v>0.98</v>
      </c>
      <c r="H18" s="5" t="s">
        <v>46</v>
      </c>
      <c r="I18" s="5" t="s">
        <v>63</v>
      </c>
      <c r="O18" t="str">
        <f>IF(Liste1[[#This Row],[0]]=F17,"",Liste1[[#This Row],[Sorte]])</f>
        <v/>
      </c>
      <c r="P18" t="s">
        <v>64</v>
      </c>
    </row>
    <row r="19" spans="1:16">
      <c r="A19" s="5" t="str">
        <f t="shared" si="0"/>
        <v>Munken Premium Cream701,75</v>
      </c>
      <c r="B19" s="5" t="s">
        <v>57</v>
      </c>
      <c r="C19" s="5">
        <v>70</v>
      </c>
      <c r="D19" s="5">
        <v>1.75</v>
      </c>
      <c r="E19" s="5">
        <f t="shared" si="1"/>
        <v>18</v>
      </c>
      <c r="F19" s="5">
        <f t="shared" si="2"/>
        <v>10</v>
      </c>
      <c r="G19" s="5">
        <v>1</v>
      </c>
      <c r="H19" s="5" t="s">
        <v>46</v>
      </c>
      <c r="I19" s="5"/>
      <c r="O19" t="str">
        <f>IF(Liste1[[#This Row],[0]]=F18,"",Liste1[[#This Row],[Sorte]])</f>
        <v/>
      </c>
      <c r="P19" t="s">
        <v>65</v>
      </c>
    </row>
    <row r="20" spans="1:16">
      <c r="A20" s="5" t="str">
        <f t="shared" si="0"/>
        <v>Munken Premium Cream801,75</v>
      </c>
      <c r="B20" s="5" t="s">
        <v>57</v>
      </c>
      <c r="C20" s="5">
        <v>80</v>
      </c>
      <c r="D20" s="5">
        <v>1.75</v>
      </c>
      <c r="E20" s="5">
        <f t="shared" si="1"/>
        <v>19</v>
      </c>
      <c r="F20" s="5">
        <f t="shared" si="2"/>
        <v>10</v>
      </c>
      <c r="G20" s="5">
        <v>1</v>
      </c>
      <c r="H20" s="5" t="s">
        <v>46</v>
      </c>
      <c r="I20" s="5"/>
      <c r="O20" t="str">
        <f>IF(Liste1[[#This Row],[0]]=F19,"",Liste1[[#This Row],[Sorte]])</f>
        <v/>
      </c>
      <c r="P20" t="s">
        <v>66</v>
      </c>
    </row>
    <row r="21" spans="1:16">
      <c r="A21" s="5" t="str">
        <f t="shared" si="0"/>
        <v>Munken Premium Cream901,75</v>
      </c>
      <c r="B21" s="5" t="s">
        <v>57</v>
      </c>
      <c r="C21" s="5">
        <v>90</v>
      </c>
      <c r="D21" s="5">
        <v>1.75</v>
      </c>
      <c r="E21" s="5">
        <f t="shared" si="1"/>
        <v>20</v>
      </c>
      <c r="F21" s="5">
        <f t="shared" si="2"/>
        <v>10</v>
      </c>
      <c r="G21" s="5">
        <v>1</v>
      </c>
      <c r="H21" s="5" t="s">
        <v>46</v>
      </c>
      <c r="I21" s="5"/>
      <c r="O21" t="str">
        <f>IF(Liste1[[#This Row],[0]]=F20,"",Liste1[[#This Row],[Sorte]])</f>
        <v/>
      </c>
      <c r="P21" t="s">
        <v>67</v>
      </c>
    </row>
    <row r="22" spans="1:16">
      <c r="A22" s="5" t="str">
        <f t="shared" si="0"/>
        <v>Munken Print Cream</v>
      </c>
      <c r="B22" s="26" t="s">
        <v>15</v>
      </c>
      <c r="C22" s="5"/>
      <c r="D22" s="5"/>
      <c r="E22" s="5">
        <f t="shared" si="1"/>
        <v>21</v>
      </c>
      <c r="F22" s="5">
        <f t="shared" si="2"/>
        <v>11</v>
      </c>
      <c r="G22" s="5">
        <v>0</v>
      </c>
      <c r="H22" s="5" t="s">
        <v>46</v>
      </c>
      <c r="I22" s="5"/>
      <c r="O22" t="str">
        <f>IF(Liste1[[#This Row],[0]]=F21,"",Liste1[[#This Row],[Sorte]])</f>
        <v>Munken Print Cream</v>
      </c>
      <c r="P22" t="s">
        <v>68</v>
      </c>
    </row>
    <row r="23" spans="1:16">
      <c r="A23" s="5" t="str">
        <f t="shared" si="0"/>
        <v>Munken Print Cream1001,8</v>
      </c>
      <c r="B23" s="26" t="s">
        <v>15</v>
      </c>
      <c r="C23" s="5">
        <v>100</v>
      </c>
      <c r="D23" s="5">
        <v>1.8</v>
      </c>
      <c r="E23" s="5">
        <f t="shared" si="1"/>
        <v>22</v>
      </c>
      <c r="F23" s="5">
        <f t="shared" si="2"/>
        <v>11</v>
      </c>
      <c r="G23" s="5">
        <v>1</v>
      </c>
      <c r="H23" s="5"/>
      <c r="I23" s="5"/>
      <c r="O23" t="str">
        <f>IF(Liste1[[#This Row],[0]]=F22,"",Liste1[[#This Row],[Sorte]])</f>
        <v/>
      </c>
    </row>
    <row r="24" spans="1:16">
      <c r="A24" s="5" t="str">
        <f t="shared" si="0"/>
        <v>Munken Print Cream1002</v>
      </c>
      <c r="B24" s="26" t="s">
        <v>15</v>
      </c>
      <c r="C24" s="5">
        <v>100</v>
      </c>
      <c r="D24" s="5">
        <v>2</v>
      </c>
      <c r="E24" s="5">
        <f t="shared" si="1"/>
        <v>23</v>
      </c>
      <c r="F24" s="5">
        <f t="shared" si="2"/>
        <v>11</v>
      </c>
      <c r="G24" s="5">
        <v>1</v>
      </c>
      <c r="H24" s="5"/>
      <c r="I24" s="5"/>
      <c r="O24" t="str">
        <f>IF(Liste1[[#This Row],[0]]=F23,"",Liste1[[#This Row],[Sorte]])</f>
        <v/>
      </c>
    </row>
    <row r="25" spans="1:16">
      <c r="A25" s="5" t="str">
        <f t="shared" si="0"/>
        <v>Munken Print Cream801,8</v>
      </c>
      <c r="B25" s="26" t="s">
        <v>15</v>
      </c>
      <c r="C25" s="5">
        <v>80</v>
      </c>
      <c r="D25" s="5">
        <v>1.8</v>
      </c>
      <c r="E25" s="5">
        <f t="shared" si="1"/>
        <v>24</v>
      </c>
      <c r="F25" s="5">
        <f t="shared" si="2"/>
        <v>11</v>
      </c>
      <c r="G25" s="5">
        <v>1</v>
      </c>
      <c r="H25" s="5" t="s">
        <v>46</v>
      </c>
      <c r="I25" s="5"/>
      <c r="O25" t="str">
        <f>IF(Liste1[[#This Row],[0]]=F24,"",Liste1[[#This Row],[Sorte]])</f>
        <v/>
      </c>
    </row>
    <row r="26" spans="1:16">
      <c r="A26" s="5" t="str">
        <f t="shared" si="0"/>
        <v>Munken Print Cream901,5</v>
      </c>
      <c r="B26" s="26" t="s">
        <v>15</v>
      </c>
      <c r="C26" s="5">
        <v>90</v>
      </c>
      <c r="D26" s="5">
        <v>1.5</v>
      </c>
      <c r="E26" s="5">
        <f t="shared" si="1"/>
        <v>25</v>
      </c>
      <c r="F26" s="5">
        <f t="shared" si="2"/>
        <v>11</v>
      </c>
      <c r="G26" s="5">
        <v>1</v>
      </c>
      <c r="H26" s="5" t="s">
        <v>46</v>
      </c>
      <c r="I26" s="5"/>
      <c r="O26" t="str">
        <f>IF(Liste1[[#This Row],[0]]=F25,"",Liste1[[#This Row],[Sorte]])</f>
        <v/>
      </c>
    </row>
    <row r="27" spans="1:16">
      <c r="A27" s="5" t="str">
        <f t="shared" si="0"/>
        <v>Munken Print Cream901,75</v>
      </c>
      <c r="B27" s="26" t="s">
        <v>15</v>
      </c>
      <c r="C27" s="5">
        <v>90</v>
      </c>
      <c r="D27" s="5">
        <v>1.75</v>
      </c>
      <c r="E27" s="5">
        <f t="shared" si="1"/>
        <v>26</v>
      </c>
      <c r="F27" s="5">
        <f t="shared" si="2"/>
        <v>11</v>
      </c>
      <c r="G27" s="5">
        <v>1</v>
      </c>
      <c r="H27" s="5" t="s">
        <v>46</v>
      </c>
      <c r="I27" s="5"/>
      <c r="O27" t="str">
        <f>IF(Liste1[[#This Row],[0]]=F26,"",Liste1[[#This Row],[Sorte]])</f>
        <v/>
      </c>
    </row>
    <row r="28" spans="1:16">
      <c r="A28" s="5" t="str">
        <f t="shared" si="0"/>
        <v>Munken Print Cream901,8</v>
      </c>
      <c r="B28" s="26" t="s">
        <v>15</v>
      </c>
      <c r="C28" s="5">
        <v>90</v>
      </c>
      <c r="D28" s="5">
        <v>1.8</v>
      </c>
      <c r="E28" s="5">
        <f t="shared" si="1"/>
        <v>27</v>
      </c>
      <c r="F28" s="5">
        <f t="shared" si="2"/>
        <v>11</v>
      </c>
      <c r="G28" s="5">
        <v>1</v>
      </c>
      <c r="H28" s="5" t="s">
        <v>46</v>
      </c>
      <c r="I28" s="5"/>
      <c r="O28" t="str">
        <f>IF(Liste1[[#This Row],[0]]=F27,"",Liste1[[#This Row],[Sorte]])</f>
        <v/>
      </c>
    </row>
    <row r="29" spans="1:16">
      <c r="A29" s="5" t="str">
        <f t="shared" si="0"/>
        <v>Munken Print White</v>
      </c>
      <c r="B29" s="26" t="s">
        <v>58</v>
      </c>
      <c r="C29" s="5"/>
      <c r="D29" s="5"/>
      <c r="E29" s="5">
        <f t="shared" si="1"/>
        <v>28</v>
      </c>
      <c r="F29" s="5">
        <f t="shared" si="2"/>
        <v>12</v>
      </c>
      <c r="G29" s="5">
        <v>0</v>
      </c>
      <c r="H29" s="5" t="s">
        <v>46</v>
      </c>
      <c r="I29" s="5"/>
      <c r="O29" t="str">
        <f>IF(Liste1[[#This Row],[0]]=F28,"",Liste1[[#This Row],[Sorte]])</f>
        <v>Munken Print White</v>
      </c>
    </row>
    <row r="30" spans="1:16">
      <c r="A30" s="5" t="str">
        <f t="shared" si="0"/>
        <v>Offset Amber Graphic</v>
      </c>
      <c r="B30" s="26" t="s">
        <v>59</v>
      </c>
      <c r="C30" s="5"/>
      <c r="D30" s="5"/>
      <c r="E30" s="5">
        <f t="shared" si="1"/>
        <v>29</v>
      </c>
      <c r="F30" s="5">
        <f t="shared" si="2"/>
        <v>13</v>
      </c>
      <c r="G30" s="5">
        <v>0</v>
      </c>
      <c r="H30" s="5"/>
      <c r="I30" s="5"/>
      <c r="O30" t="str">
        <f>IF(Liste1[[#This Row],[0]]=F29,"",Liste1[[#This Row],[Sorte]])</f>
        <v>Offset Amber Graphic</v>
      </c>
    </row>
    <row r="31" spans="1:16">
      <c r="A31" s="5" t="str">
        <f t="shared" si="0"/>
        <v>Offset Circle White</v>
      </c>
      <c r="B31" s="26" t="s">
        <v>60</v>
      </c>
      <c r="C31" s="5"/>
      <c r="D31" s="5"/>
      <c r="E31" s="5">
        <f t="shared" si="1"/>
        <v>30</v>
      </c>
      <c r="F31" s="5">
        <f t="shared" si="2"/>
        <v>14</v>
      </c>
      <c r="G31" s="5">
        <v>0</v>
      </c>
      <c r="H31" s="5"/>
      <c r="I31" s="5"/>
      <c r="O31" t="str">
        <f>IF(Liste1[[#This Row],[0]]=F30,"",Liste1[[#This Row],[Sorte]])</f>
        <v>Offset Circle White</v>
      </c>
    </row>
    <row r="32" spans="1:16">
      <c r="A32" s="5" t="str">
        <f t="shared" si="0"/>
        <v>Offset Papiere</v>
      </c>
      <c r="B32" s="5" t="s">
        <v>61</v>
      </c>
      <c r="C32" s="5"/>
      <c r="D32" s="5"/>
      <c r="E32" s="5">
        <f t="shared" si="1"/>
        <v>31</v>
      </c>
      <c r="F32" s="5">
        <f t="shared" si="2"/>
        <v>15</v>
      </c>
      <c r="G32" s="5">
        <v>0.98</v>
      </c>
      <c r="H32" s="5" t="s">
        <v>46</v>
      </c>
      <c r="I32" s="5" t="s">
        <v>63</v>
      </c>
      <c r="O32" t="str">
        <f>IF(Liste1[[#This Row],[0]]=F31,"",Liste1[[#This Row],[Sorte]])</f>
        <v>Offset Papiere</v>
      </c>
    </row>
    <row r="33" spans="1:15">
      <c r="A33" s="5" t="str">
        <f t="shared" si="0"/>
        <v>Pamo House</v>
      </c>
      <c r="B33" s="5" t="s">
        <v>62</v>
      </c>
      <c r="C33" s="5"/>
      <c r="D33" s="5"/>
      <c r="E33" s="5">
        <f t="shared" si="1"/>
        <v>32</v>
      </c>
      <c r="F33" s="5">
        <f t="shared" si="2"/>
        <v>16</v>
      </c>
      <c r="G33" s="5">
        <v>0</v>
      </c>
      <c r="H33" s="5"/>
      <c r="I33" s="5"/>
      <c r="O33" t="str">
        <f>IF(Liste1[[#This Row],[0]]=F32,"",Liste1[[#This Row],[Sorte]])</f>
        <v>Pamo House</v>
      </c>
    </row>
    <row r="34" spans="1:15">
      <c r="A34" s="5" t="str">
        <f t="shared" si="0"/>
        <v>Salzer Alpin</v>
      </c>
      <c r="B34" s="5" t="s">
        <v>64</v>
      </c>
      <c r="C34" s="5"/>
      <c r="D34" s="5"/>
      <c r="E34" s="5">
        <f t="shared" si="1"/>
        <v>33</v>
      </c>
      <c r="F34" s="5">
        <f t="shared" si="2"/>
        <v>17</v>
      </c>
      <c r="G34" s="5">
        <v>1</v>
      </c>
      <c r="H34" s="5" t="s">
        <v>46</v>
      </c>
      <c r="I34" s="5"/>
      <c r="O34" t="str">
        <f>IF(Liste1[[#This Row],[0]]=F33,"",Liste1[[#This Row],[Sorte]])</f>
        <v>Salzer Alpin</v>
      </c>
    </row>
    <row r="35" spans="1:15">
      <c r="A35" s="5" t="str">
        <f t="shared" si="0"/>
        <v>Salzer EOS</v>
      </c>
      <c r="B35" s="5" t="s">
        <v>65</v>
      </c>
      <c r="C35" s="5"/>
      <c r="D35" s="5"/>
      <c r="E35" s="5">
        <f t="shared" si="1"/>
        <v>34</v>
      </c>
      <c r="F35" s="5">
        <f t="shared" si="2"/>
        <v>18</v>
      </c>
      <c r="G35" s="5">
        <v>0</v>
      </c>
      <c r="H35" s="5"/>
      <c r="I35" s="5"/>
      <c r="O35" t="str">
        <f>IF(Liste1[[#This Row],[0]]=F34,"",Liste1[[#This Row],[Sorte]])</f>
        <v>Salzer EOS</v>
      </c>
    </row>
    <row r="36" spans="1:15">
      <c r="A36" s="5" t="str">
        <f t="shared" si="0"/>
        <v>Super Snowbright</v>
      </c>
      <c r="B36" s="5" t="s">
        <v>66</v>
      </c>
      <c r="C36" s="5"/>
      <c r="D36" s="5"/>
      <c r="E36" s="5">
        <f t="shared" si="1"/>
        <v>35</v>
      </c>
      <c r="F36" s="5">
        <f t="shared" si="2"/>
        <v>19</v>
      </c>
      <c r="G36" s="5">
        <v>1</v>
      </c>
      <c r="H36" s="5" t="s">
        <v>46</v>
      </c>
      <c r="I36" s="5"/>
      <c r="O36" t="str">
        <f>IF(Liste1[[#This Row],[0]]=F35,"",Liste1[[#This Row],[Sorte]])</f>
        <v>Super Snowbright</v>
      </c>
    </row>
    <row r="37" spans="1:15">
      <c r="A37" s="5" t="str">
        <f t="shared" si="0"/>
        <v>Vorsatz</v>
      </c>
      <c r="B37" s="5" t="s">
        <v>67</v>
      </c>
      <c r="C37" s="5"/>
      <c r="D37" s="5"/>
      <c r="E37" s="5">
        <f t="shared" si="1"/>
        <v>36</v>
      </c>
      <c r="F37" s="5">
        <f t="shared" si="2"/>
        <v>20</v>
      </c>
      <c r="G37" s="5">
        <v>0</v>
      </c>
      <c r="H37" s="5" t="s">
        <v>46</v>
      </c>
      <c r="I37" s="5"/>
      <c r="O37" t="str">
        <f>IF(Liste1[[#This Row],[0]]=F36,"",Liste1[[#This Row],[Sorte]])</f>
        <v>Vorsatz</v>
      </c>
    </row>
    <row r="38" spans="1:15">
      <c r="A38" s="5" t="str">
        <f t="shared" si="0"/>
        <v>Werkdruck holzfrei (Cordier, Schleipen, Salzer, EOS)</v>
      </c>
      <c r="B38" s="5" t="s">
        <v>68</v>
      </c>
      <c r="C38" s="5"/>
      <c r="D38" s="5"/>
      <c r="E38" s="5">
        <f t="shared" si="1"/>
        <v>37</v>
      </c>
      <c r="F38" s="5">
        <f>IF(B38=B27,F27,F27+1)</f>
        <v>12</v>
      </c>
      <c r="G38" s="5">
        <v>0</v>
      </c>
      <c r="H38" s="5" t="s">
        <v>46</v>
      </c>
      <c r="I38" s="5"/>
      <c r="O38" t="str">
        <f>IF(Liste1[[#This Row],[0]]=F37,"",Liste1[[#This Row],[Sorte]])</f>
        <v>Werkdruck holzfrei (Cordier, Schleipen, Salzer, EOS)</v>
      </c>
    </row>
    <row r="45" spans="1:15">
      <c r="B45" s="1"/>
      <c r="C45" s="1"/>
      <c r="D45" s="1"/>
      <c r="E45" s="1"/>
      <c r="F45" s="1"/>
      <c r="G45" s="1"/>
      <c r="H45" s="3"/>
      <c r="I45" s="1"/>
    </row>
    <row r="46" spans="1:15">
      <c r="B46" s="23"/>
      <c r="C46" s="23"/>
      <c r="I46" s="2"/>
    </row>
    <row r="48" spans="1:15">
      <c r="B48" s="23"/>
      <c r="C48" s="23"/>
      <c r="I48" s="2"/>
    </row>
    <row r="49" spans="2:3">
      <c r="B49" s="23"/>
      <c r="C49" s="23"/>
    </row>
    <row r="50" spans="2:3">
      <c r="B50" s="23"/>
      <c r="C50" s="23"/>
    </row>
    <row r="51" spans="2:3">
      <c r="B51" s="23"/>
      <c r="C51" s="23"/>
    </row>
    <row r="52" spans="2:3">
      <c r="B52" s="23"/>
      <c r="C52" s="23"/>
    </row>
    <row r="53" spans="2:3">
      <c r="B53" s="23"/>
      <c r="C53" s="23"/>
    </row>
    <row r="54" spans="2:3">
      <c r="B54" s="23"/>
      <c r="C54" s="23"/>
    </row>
    <row r="55" spans="2:3">
      <c r="B55" s="23"/>
      <c r="C55" s="23"/>
    </row>
    <row r="56" spans="2:3">
      <c r="B56" s="23"/>
      <c r="C56" s="23"/>
    </row>
    <row r="57" spans="2:3">
      <c r="B57" s="23"/>
      <c r="C57" s="23"/>
    </row>
    <row r="58" spans="2:3">
      <c r="C58" s="23"/>
    </row>
    <row r="59" spans="2:3">
      <c r="C59" s="23"/>
    </row>
    <row r="60" spans="2:3">
      <c r="C60" s="23"/>
    </row>
    <row r="61" spans="2:3">
      <c r="C61" s="23"/>
    </row>
    <row r="62" spans="2:3">
      <c r="C62" s="23"/>
    </row>
    <row r="63" spans="2:3">
      <c r="C63" s="23"/>
    </row>
    <row r="64" spans="2:3">
      <c r="C64" s="23"/>
    </row>
    <row r="65" spans="3:3">
      <c r="C65" s="23"/>
    </row>
    <row r="66" spans="3:3">
      <c r="C66" s="23"/>
    </row>
    <row r="67" spans="3:3">
      <c r="C67" s="23"/>
    </row>
    <row r="68" spans="3:3">
      <c r="C68" s="23"/>
    </row>
  </sheetData>
  <sheetProtection sheet="1" objects="1" scenarios="1" selectLockedCells="1" selectUnlockedCells="1"/>
  <phoneticPr fontId="0" type="noConversion"/>
  <conditionalFormatting sqref="A2:I38">
    <cfRule type="expression" dxfId="42" priority="37" stopIfTrue="1">
      <formula>MOD($F2,2)=0</formula>
    </cfRule>
    <cfRule type="expression" dxfId="41" priority="38" stopIfTrue="1">
      <formula>MOD($F2,2)=1</formula>
    </cfRule>
  </conditionalFormatting>
  <pageMargins left="0.59055118110236227" right="0.39370078740157483" top="0.39370078740157483" bottom="0.39370078740157483" header="0.51181102362204722" footer="0.51181102362204722"/>
  <pageSetup paperSize="9" scale="71" orientation="landscape"/>
  <headerFooter alignWithMargins="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/>
  <dimension ref="A2:J29"/>
  <sheetViews>
    <sheetView zoomScaleSheetLayoutView="100" workbookViewId="0">
      <selection activeCell="K13" sqref="K13"/>
    </sheetView>
  </sheetViews>
  <sheetFormatPr baseColWidth="10" defaultColWidth="10.83203125" defaultRowHeight="13" x14ac:dyDescent="0"/>
  <cols>
    <col min="1" max="1" width="16.6640625" style="6" customWidth="1"/>
    <col min="2" max="2" width="2.1640625" style="6" customWidth="1"/>
    <col min="3" max="4" width="20.6640625" style="6" customWidth="1"/>
    <col min="5" max="5" width="7.6640625" style="6" customWidth="1"/>
    <col min="6" max="7" width="20.6640625" style="6" customWidth="1"/>
    <col min="8" max="8" width="2.1640625" style="6" customWidth="1"/>
    <col min="9" max="9" width="2.6640625" style="6" customWidth="1"/>
    <col min="10" max="10" width="16.5" style="6" customWidth="1"/>
    <col min="11" max="16384" width="10.83203125" style="6"/>
  </cols>
  <sheetData>
    <row r="2" spans="2:10" ht="16">
      <c r="B2" s="33" t="str">
        <f ca="1">CONCATENATE(txtAufriss,": ",txtKartonumschlag)</f>
        <v>Aufriss: Kartonumschlag</v>
      </c>
      <c r="C2" s="33"/>
    </row>
    <row r="4" spans="2:10">
      <c r="C4" s="34" t="str">
        <f ca="1">CONCATENATE(txtVerlag,":")</f>
        <v>Verlag:</v>
      </c>
      <c r="D4" s="13" t="str">
        <f>strVerlag</f>
        <v/>
      </c>
    </row>
    <row r="5" spans="2:10">
      <c r="C5" s="13" t="str">
        <f ca="1">CONCATENATE(txtTitel,":")</f>
        <v>Titel:</v>
      </c>
      <c r="D5" s="13" t="str">
        <f>strTitel</f>
        <v/>
      </c>
    </row>
    <row r="6" spans="2:10" ht="16">
      <c r="B6" s="33"/>
      <c r="C6" s="13" t="str">
        <f ca="1">CONCATENATE(txtFormat,":")</f>
        <v>Format:</v>
      </c>
      <c r="D6" s="13" t="str">
        <f ca="1">strFormat</f>
        <v xml:space="preserve"> x  mm; Klebebindung</v>
      </c>
    </row>
    <row r="7" spans="2:10" ht="16">
      <c r="B7" s="33"/>
      <c r="C7" s="13" t="str">
        <f ca="1">CONCATENATE(txtUmfang,":")</f>
        <v>Umfang:</v>
      </c>
      <c r="D7" s="35" t="str">
        <f ca="1">strUmfang</f>
        <v xml:space="preserve"> Seiten</v>
      </c>
    </row>
    <row r="8" spans="2:10">
      <c r="B8" s="13"/>
      <c r="C8" s="13" t="str">
        <f ca="1">CONCATENATE(txtPapier,":")</f>
        <v>Papier:</v>
      </c>
      <c r="D8" s="13" t="str">
        <f>strPapier</f>
        <v xml:space="preserve"> g/m²  fach</v>
      </c>
      <c r="E8" s="13"/>
      <c r="F8" s="36"/>
      <c r="G8" s="115" t="str">
        <f ca="1">CONCATENATE("+ 3 mm ",txtBeschnittzugabe_ringsrum)</f>
        <v>+ 3 mm Beschnittzugabe ringsrum</v>
      </c>
    </row>
    <row r="9" spans="2:10">
      <c r="B9" s="10"/>
      <c r="C9" s="10"/>
      <c r="D9" s="10"/>
      <c r="E9" s="10"/>
      <c r="F9" s="10"/>
      <c r="G9" s="10"/>
      <c r="H9" s="10"/>
    </row>
    <row r="10" spans="2:10" ht="11" customHeight="1" thickBot="1">
      <c r="B10" s="37"/>
      <c r="C10" s="38"/>
      <c r="D10" s="38"/>
      <c r="E10" s="38"/>
      <c r="F10" s="38"/>
      <c r="G10" s="38"/>
      <c r="H10" s="39"/>
      <c r="I10" s="10"/>
      <c r="J10" s="40"/>
    </row>
    <row r="11" spans="2:10" ht="25" customHeight="1">
      <c r="B11" s="41"/>
      <c r="C11" s="42"/>
      <c r="D11" s="43"/>
      <c r="E11" s="44"/>
      <c r="F11" s="43"/>
      <c r="G11" s="45"/>
      <c r="H11" s="46"/>
      <c r="I11" s="10"/>
      <c r="J11" s="47"/>
    </row>
    <row r="12" spans="2:10" ht="25" customHeight="1">
      <c r="B12" s="41"/>
      <c r="C12" s="48"/>
      <c r="D12" s="10"/>
      <c r="E12" s="49"/>
      <c r="F12" s="10"/>
      <c r="G12" s="50"/>
      <c r="H12" s="46"/>
    </row>
    <row r="13" spans="2:10" ht="25" customHeight="1">
      <c r="B13" s="41"/>
      <c r="C13" s="48"/>
      <c r="D13" s="10"/>
      <c r="E13" s="126" t="str">
        <f>CONCATENATE(strTbRuecken)</f>
        <v>0,5 mm</v>
      </c>
      <c r="F13" s="10"/>
      <c r="G13" s="50"/>
      <c r="H13" s="46"/>
    </row>
    <row r="14" spans="2:10" ht="25" customHeight="1">
      <c r="B14" s="41"/>
      <c r="C14" s="48"/>
      <c r="D14" s="10"/>
      <c r="E14" s="126"/>
      <c r="F14" s="51"/>
      <c r="G14" s="50"/>
      <c r="H14" s="46"/>
    </row>
    <row r="15" spans="2:10" ht="25" customHeight="1">
      <c r="B15" s="41"/>
      <c r="C15" s="128" t="str">
        <f ca="1">CONCATENATE("                ",txtFormatbreite," = ",strFormatBreite)</f>
        <v xml:space="preserve">                Formatbreite =  mm</v>
      </c>
      <c r="D15" s="129"/>
      <c r="E15" s="127"/>
      <c r="F15" s="130" t="str">
        <f ca="1">C15</f>
        <v xml:space="preserve">                Formatbreite =  mm</v>
      </c>
      <c r="G15" s="131"/>
      <c r="H15" s="46"/>
    </row>
    <row r="16" spans="2:10" ht="25" customHeight="1">
      <c r="B16" s="41"/>
      <c r="C16" s="48"/>
      <c r="D16" s="10"/>
      <c r="E16" s="126"/>
      <c r="F16" s="10"/>
      <c r="G16" s="50"/>
      <c r="H16" s="46"/>
    </row>
    <row r="17" spans="1:8" ht="25" customHeight="1">
      <c r="B17" s="41"/>
      <c r="C17" s="48"/>
      <c r="D17" s="10"/>
      <c r="E17" s="126"/>
      <c r="F17" s="10"/>
      <c r="G17" s="50"/>
      <c r="H17" s="46"/>
    </row>
    <row r="18" spans="1:8" ht="25" customHeight="1">
      <c r="A18" s="6" t="str">
        <f ca="1">txtGesamthöhe</f>
        <v>Gesamthöhe</v>
      </c>
      <c r="B18" s="41"/>
      <c r="C18" s="52" t="str">
        <f ca="1">CONCATENATE(txtFormathöhe," = ",strFormatHöhe)</f>
        <v>Formathöhe =  mm</v>
      </c>
      <c r="D18" s="10"/>
      <c r="E18" s="126"/>
      <c r="F18" s="10"/>
      <c r="G18" s="50"/>
      <c r="H18" s="46"/>
    </row>
    <row r="19" spans="1:8" ht="25" customHeight="1">
      <c r="A19" s="6" t="str">
        <f>CONCATENATE(6+FormatHöhe," mm")</f>
        <v>6 mm</v>
      </c>
      <c r="B19" s="41"/>
      <c r="C19" s="48"/>
      <c r="D19" s="10"/>
      <c r="E19" s="126"/>
      <c r="F19" s="10"/>
      <c r="G19" s="50"/>
      <c r="H19" s="46"/>
    </row>
    <row r="20" spans="1:8" ht="25" customHeight="1">
      <c r="B20" s="41"/>
      <c r="C20" s="48"/>
      <c r="D20" s="10"/>
      <c r="E20" s="126"/>
      <c r="F20" s="10"/>
      <c r="G20" s="50"/>
      <c r="H20" s="46"/>
    </row>
    <row r="21" spans="1:8" ht="25" customHeight="1">
      <c r="B21" s="41"/>
      <c r="C21" s="48"/>
      <c r="D21" s="10"/>
      <c r="E21" s="126"/>
      <c r="F21" s="10"/>
      <c r="G21" s="50"/>
      <c r="H21" s="46"/>
    </row>
    <row r="22" spans="1:8" ht="25" customHeight="1">
      <c r="B22" s="41"/>
      <c r="C22" s="48"/>
      <c r="D22" s="10"/>
      <c r="E22" s="126"/>
      <c r="F22" s="10"/>
      <c r="G22" s="50"/>
      <c r="H22" s="46"/>
    </row>
    <row r="23" spans="1:8" ht="25" customHeight="1">
      <c r="B23" s="41"/>
      <c r="C23" s="48"/>
      <c r="D23" s="10"/>
      <c r="E23" s="49"/>
      <c r="F23" s="10"/>
      <c r="G23" s="50"/>
      <c r="H23" s="46"/>
    </row>
    <row r="24" spans="1:8" ht="25" customHeight="1">
      <c r="B24" s="41"/>
      <c r="C24" s="48"/>
      <c r="D24" s="10"/>
      <c r="E24" s="49"/>
      <c r="F24" s="10"/>
      <c r="G24" s="50"/>
      <c r="H24" s="46"/>
    </row>
    <row r="25" spans="1:8" ht="25" customHeight="1">
      <c r="B25" s="41"/>
      <c r="C25" s="48"/>
      <c r="D25" s="10"/>
      <c r="E25" s="49"/>
      <c r="F25" s="10"/>
      <c r="G25" s="50"/>
      <c r="H25" s="46"/>
    </row>
    <row r="26" spans="1:8" ht="25" customHeight="1" thickBot="1">
      <c r="B26" s="41"/>
      <c r="C26" s="53"/>
      <c r="D26" s="54"/>
      <c r="E26" s="55"/>
      <c r="F26" s="54"/>
      <c r="G26" s="56"/>
      <c r="H26" s="46"/>
    </row>
    <row r="27" spans="1:8" ht="11" customHeight="1">
      <c r="B27" s="57"/>
      <c r="C27" s="58"/>
      <c r="D27" s="58"/>
      <c r="E27" s="58"/>
      <c r="F27" s="58"/>
      <c r="G27" s="58"/>
      <c r="H27" s="59"/>
    </row>
    <row r="28" spans="1:8" ht="12" customHeight="1"/>
    <row r="29" spans="1:8">
      <c r="D29" s="132" t="str">
        <f ca="1">CONCATENATE(txtGesamtbreite," ",6+2*FormatBreite+TbRuecken," mm")</f>
        <v>Gesamtbreite 6,5 mm</v>
      </c>
      <c r="E29" s="132"/>
      <c r="F29" s="132"/>
    </row>
  </sheetData>
  <sheetProtection selectLockedCells="1"/>
  <mergeCells count="4">
    <mergeCell ref="E13:E22"/>
    <mergeCell ref="C15:D15"/>
    <mergeCell ref="F15:G15"/>
    <mergeCell ref="D29:F29"/>
  </mergeCells>
  <phoneticPr fontId="7" type="noConversion"/>
  <pageMargins left="0.96" right="0" top="0.3" bottom="0.28000000000000003" header="0" footer="0"/>
  <pageSetup paperSize="9" scale="95" orientation="landscape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 enableFormatConditionsCalculation="0"/>
  <dimension ref="A1:O35"/>
  <sheetViews>
    <sheetView zoomScaleNormal="130" zoomScaleSheetLayoutView="100" zoomScalePageLayoutView="130" workbookViewId="0">
      <selection activeCell="E5" sqref="E5"/>
    </sheetView>
  </sheetViews>
  <sheetFormatPr baseColWidth="10" defaultColWidth="10.83203125" defaultRowHeight="13" x14ac:dyDescent="0"/>
  <cols>
    <col min="1" max="1" width="16.6640625" style="6" customWidth="1"/>
    <col min="2" max="2" width="2.1640625" style="6" customWidth="1"/>
    <col min="3" max="3" width="22.6640625" style="6" customWidth="1"/>
    <col min="4" max="5" width="15.6640625" style="6" customWidth="1"/>
    <col min="6" max="6" width="7.6640625" style="6" customWidth="1"/>
    <col min="7" max="8" width="15.6640625" style="6" customWidth="1"/>
    <col min="9" max="9" width="22.6640625" style="6" customWidth="1"/>
    <col min="10" max="10" width="2.1640625" style="6" customWidth="1"/>
    <col min="11" max="11" width="1.6640625" style="6" customWidth="1"/>
    <col min="12" max="12" width="15.83203125" style="6" customWidth="1"/>
    <col min="13" max="16384" width="10.83203125" style="6"/>
  </cols>
  <sheetData>
    <row r="1" spans="1:12">
      <c r="A1" s="100"/>
      <c r="B1" s="100"/>
      <c r="C1" s="100"/>
      <c r="D1" s="102" t="str">
        <f ca="1">txtvorne</f>
        <v>vorne</v>
      </c>
      <c r="E1" s="102" t="str">
        <f ca="1">txthinten</f>
        <v>hinten</v>
      </c>
      <c r="F1" s="100"/>
      <c r="G1" s="100"/>
      <c r="H1" s="100"/>
      <c r="I1" s="100"/>
      <c r="J1" s="100"/>
      <c r="K1" s="100"/>
    </row>
    <row r="2" spans="1:12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2">
      <c r="A3" s="100"/>
      <c r="B3" s="100"/>
      <c r="C3" s="102" t="str">
        <f ca="1">txtKlappenbreite</f>
        <v>Klappenbreite</v>
      </c>
      <c r="D3" s="28">
        <v>80</v>
      </c>
      <c r="E3" s="60">
        <v>80</v>
      </c>
      <c r="F3" s="100" t="s">
        <v>4</v>
      </c>
      <c r="G3" s="100"/>
      <c r="H3" s="100"/>
      <c r="I3" s="100"/>
      <c r="J3" s="100"/>
      <c r="K3" s="100"/>
    </row>
    <row r="4" spans="1:12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2">
      <c r="A5" s="100"/>
      <c r="B5" s="100"/>
      <c r="C5" s="102" t="str">
        <f ca="1">txtKlappenüberstand</f>
        <v>Klappenüberstand</v>
      </c>
      <c r="D5" s="28">
        <v>2</v>
      </c>
      <c r="E5" s="60"/>
      <c r="F5" s="100" t="str">
        <f ca="1">CONCATENATE("mm ",txtnegative_Werte)</f>
        <v>mm negative Werte = zurückversetzte Klappen</v>
      </c>
      <c r="G5" s="100"/>
      <c r="H5" s="100"/>
      <c r="I5" s="100"/>
      <c r="J5" s="100"/>
      <c r="K5" s="100"/>
    </row>
    <row r="6" spans="1:12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</row>
    <row r="8" spans="1:12" ht="16">
      <c r="B8" s="33" t="str">
        <f ca="1">CONCATENATE(txtAufriss,": ",txtKlappenbroschur)</f>
        <v>Aufriss: Klappenbroschur</v>
      </c>
      <c r="C8" s="33"/>
    </row>
    <row r="10" spans="1:12">
      <c r="C10" s="34" t="str">
        <f ca="1">CONCATENATE(txtVerlag,":")</f>
        <v>Verlag:</v>
      </c>
      <c r="D10" s="6" t="str">
        <f>strVerlag</f>
        <v/>
      </c>
      <c r="E10" s="13"/>
    </row>
    <row r="11" spans="1:12">
      <c r="C11" s="13" t="str">
        <f ca="1">CONCATENATE(txtTitel,":")</f>
        <v>Titel:</v>
      </c>
      <c r="D11" s="6" t="str">
        <f>strTitel</f>
        <v/>
      </c>
    </row>
    <row r="12" spans="1:12" ht="16">
      <c r="B12" s="33"/>
      <c r="C12" s="13" t="str">
        <f ca="1">CONCATENATE(txtFormat,":")</f>
        <v>Format:</v>
      </c>
      <c r="D12" s="6" t="str">
        <f ca="1">strFormat</f>
        <v xml:space="preserve"> x  mm; Klebebindung</v>
      </c>
    </row>
    <row r="13" spans="1:12" ht="16">
      <c r="B13" s="33"/>
      <c r="C13" s="13" t="str">
        <f ca="1">CONCATENATE(txtUmfang,":")</f>
        <v>Umfang:</v>
      </c>
      <c r="D13" s="61" t="str">
        <f ca="1">strUmfang</f>
        <v xml:space="preserve"> Seiten</v>
      </c>
      <c r="I13" s="62"/>
    </row>
    <row r="14" spans="1:12">
      <c r="B14" s="13"/>
      <c r="C14" s="13" t="str">
        <f ca="1">CONCATENATE(txtPapier,":")</f>
        <v>Papier:</v>
      </c>
      <c r="D14" s="6" t="str">
        <f>strPapier</f>
        <v xml:space="preserve"> g/m²  fach</v>
      </c>
      <c r="E14" s="13"/>
      <c r="G14" s="36" t="str">
        <f ca="1">CONCATENATE("+ 3 mm ",txtBeschnittzugabe_ringsrum)</f>
        <v>+ 3 mm Beschnittzugabe ringsrum</v>
      </c>
      <c r="H14" s="13"/>
      <c r="I14" s="63"/>
    </row>
    <row r="15" spans="1:12" ht="9.75" customHeight="1">
      <c r="C15" s="13"/>
      <c r="J15" s="10"/>
    </row>
    <row r="16" spans="1:12" ht="10.5" customHeight="1" thickBot="1">
      <c r="B16" s="37"/>
      <c r="C16" s="38"/>
      <c r="D16" s="38"/>
      <c r="E16" s="38"/>
      <c r="F16" s="38"/>
      <c r="G16" s="38"/>
      <c r="H16" s="38"/>
      <c r="I16" s="38"/>
      <c r="J16" s="39"/>
      <c r="K16" s="10"/>
      <c r="L16" s="62"/>
    </row>
    <row r="17" spans="1:15" ht="22" customHeight="1">
      <c r="B17" s="41"/>
      <c r="C17" s="44"/>
      <c r="D17" s="43"/>
      <c r="E17" s="43"/>
      <c r="F17" s="44"/>
      <c r="G17" s="43"/>
      <c r="H17" s="43"/>
      <c r="I17" s="44"/>
      <c r="J17" s="46"/>
      <c r="K17" s="10"/>
      <c r="L17" s="64"/>
    </row>
    <row r="18" spans="1:15" ht="22" customHeight="1">
      <c r="B18" s="41"/>
      <c r="C18" s="49"/>
      <c r="D18" s="10"/>
      <c r="E18" s="10"/>
      <c r="F18" s="49"/>
      <c r="G18" s="10"/>
      <c r="H18" s="10"/>
      <c r="I18" s="49"/>
      <c r="J18" s="46"/>
    </row>
    <row r="19" spans="1:15" ht="22" customHeight="1">
      <c r="B19" s="41"/>
      <c r="C19" s="49"/>
      <c r="D19" s="10"/>
      <c r="E19" s="10"/>
      <c r="F19" s="49"/>
      <c r="G19" s="10"/>
      <c r="H19" s="10"/>
      <c r="I19" s="49"/>
      <c r="J19" s="46"/>
    </row>
    <row r="20" spans="1:15" ht="22" customHeight="1">
      <c r="B20" s="41"/>
      <c r="C20" s="49"/>
      <c r="D20" s="10"/>
      <c r="E20" s="10"/>
      <c r="F20" s="126" t="str">
        <f>CONCATENATE(strTbRuecken)</f>
        <v>0,5 mm</v>
      </c>
      <c r="G20" s="10"/>
      <c r="H20" s="10"/>
      <c r="I20" s="49"/>
      <c r="J20" s="46"/>
    </row>
    <row r="21" spans="1:15" ht="22" customHeight="1">
      <c r="B21" s="41"/>
      <c r="C21" s="49"/>
      <c r="F21" s="126"/>
      <c r="I21" s="49"/>
      <c r="J21" s="46"/>
    </row>
    <row r="22" spans="1:15" ht="22" customHeight="1">
      <c r="B22" s="41"/>
      <c r="C22" s="49"/>
      <c r="D22" s="135" t="str">
        <f ca="1">CONCATENATE(txtFormathöhe," = ",strFormatHöhe)</f>
        <v>Formathöhe =  mm</v>
      </c>
      <c r="E22" s="136"/>
      <c r="F22" s="127"/>
      <c r="G22" s="10"/>
      <c r="H22" s="10"/>
      <c r="I22" s="49"/>
      <c r="J22" s="46"/>
    </row>
    <row r="23" spans="1:15" ht="22" customHeight="1">
      <c r="A23" s="6" t="str">
        <f ca="1">txtGesamthöhe</f>
        <v>Gesamthöhe</v>
      </c>
      <c r="B23" s="41"/>
      <c r="C23" s="49"/>
      <c r="D23" s="10"/>
      <c r="E23" s="10"/>
      <c r="F23" s="126"/>
      <c r="G23" s="10"/>
      <c r="H23" s="10"/>
      <c r="I23" s="49"/>
      <c r="J23" s="46"/>
    </row>
    <row r="24" spans="1:15" ht="22" customHeight="1">
      <c r="A24" s="6" t="str">
        <f>CONCATENATE(6+FormatHöhe," mm")</f>
        <v>6 mm</v>
      </c>
      <c r="B24" s="41"/>
      <c r="C24" s="65" t="str">
        <f ca="1">IF(E3&gt;0,CONCATENATE(txtKlappenbreite," = ",E3," mm"),CONCATENATE("!!! ",txtkeine_Klappe," !!!"))</f>
        <v>Klappenbreite = 80 mm</v>
      </c>
      <c r="D24" s="133" t="str">
        <f ca="1">CONCATENATE("   ",txtFormatbreite," + ",txtÜberstand," ",E5," = ",E5+FormatBreite," mm")</f>
        <v xml:space="preserve">   Formatbreite + Überstand  = 0 mm</v>
      </c>
      <c r="E24" s="134"/>
      <c r="F24" s="127"/>
      <c r="G24" s="133" t="str">
        <f ca="1">CONCATENATE("   ",txtFormatbreite," + ",txtÜberstand," ",D5," = ",D5+FormatBreite," mm")</f>
        <v xml:space="preserve">   Formatbreite + Überstand 2 = 2 mm</v>
      </c>
      <c r="H24" s="133"/>
      <c r="I24" s="65" t="str">
        <f ca="1">IF(D3&gt;0,CONCATENATE(txtKlappenbreite," = ",D3," mm"),CONCATENATE("!!! ",txtkeine_Klappe," !!!"))</f>
        <v>Klappenbreite = 80 mm</v>
      </c>
      <c r="J24" s="46"/>
      <c r="O24" s="10"/>
    </row>
    <row r="25" spans="1:15" ht="22" customHeight="1">
      <c r="B25" s="41"/>
      <c r="C25" s="49"/>
      <c r="D25" s="10"/>
      <c r="E25" s="10"/>
      <c r="F25" s="126"/>
      <c r="G25" s="10"/>
      <c r="H25" s="10"/>
      <c r="I25" s="49"/>
      <c r="J25" s="46"/>
    </row>
    <row r="26" spans="1:15" ht="22" customHeight="1">
      <c r="B26" s="41"/>
      <c r="C26" s="49"/>
      <c r="D26" s="10"/>
      <c r="E26" s="10"/>
      <c r="F26" s="126"/>
      <c r="G26" s="10"/>
      <c r="H26" s="10"/>
      <c r="I26" s="49"/>
      <c r="J26" s="46"/>
    </row>
    <row r="27" spans="1:15" ht="22" customHeight="1">
      <c r="B27" s="41"/>
      <c r="C27" s="49"/>
      <c r="D27" s="10"/>
      <c r="E27" s="10"/>
      <c r="F27" s="126"/>
      <c r="G27" s="10"/>
      <c r="H27" s="10"/>
      <c r="I27" s="49"/>
      <c r="J27" s="46"/>
    </row>
    <row r="28" spans="1:15" ht="22" customHeight="1">
      <c r="B28" s="41"/>
      <c r="C28" s="49"/>
      <c r="D28" s="10"/>
      <c r="E28" s="10"/>
      <c r="F28" s="126"/>
      <c r="G28" s="10"/>
      <c r="H28" s="10"/>
      <c r="I28" s="49"/>
      <c r="J28" s="46"/>
    </row>
    <row r="29" spans="1:15" ht="22" customHeight="1">
      <c r="B29" s="41"/>
      <c r="C29" s="66"/>
      <c r="D29" s="10"/>
      <c r="E29" s="10"/>
      <c r="F29" s="126"/>
      <c r="G29" s="10"/>
      <c r="H29" s="10"/>
      <c r="I29" s="67"/>
      <c r="J29" s="46"/>
    </row>
    <row r="30" spans="1:15" ht="22" customHeight="1">
      <c r="B30" s="41"/>
      <c r="C30" s="49"/>
      <c r="D30" s="10"/>
      <c r="E30" s="10"/>
      <c r="F30" s="49"/>
      <c r="G30" s="10"/>
      <c r="H30" s="10"/>
      <c r="I30" s="49"/>
      <c r="J30" s="46"/>
    </row>
    <row r="31" spans="1:15" ht="22" customHeight="1">
      <c r="B31" s="41"/>
      <c r="C31" s="49"/>
      <c r="D31" s="10"/>
      <c r="E31" s="10"/>
      <c r="F31" s="49"/>
      <c r="G31" s="10"/>
      <c r="H31" s="10"/>
      <c r="I31" s="49"/>
      <c r="J31" s="46"/>
    </row>
    <row r="32" spans="1:15" ht="22" customHeight="1" thickBot="1">
      <c r="B32" s="41"/>
      <c r="C32" s="55"/>
      <c r="D32" s="54"/>
      <c r="E32" s="54"/>
      <c r="F32" s="55"/>
      <c r="G32" s="54"/>
      <c r="H32" s="54"/>
      <c r="I32" s="55"/>
      <c r="J32" s="46"/>
    </row>
    <row r="33" spans="2:10" ht="11" customHeight="1">
      <c r="B33" s="57"/>
      <c r="C33" s="58"/>
      <c r="D33" s="58"/>
      <c r="E33" s="58"/>
      <c r="F33" s="58"/>
      <c r="G33" s="58"/>
      <c r="H33" s="58"/>
      <c r="I33" s="58"/>
      <c r="J33" s="59"/>
    </row>
    <row r="35" spans="2:10">
      <c r="E35" s="132" t="str">
        <f ca="1">CONCATENATE(txtGesamtbreite," ",2*FormatBreite+TbRuecken+D3+E3+D5+E5+6," mm")</f>
        <v>Gesamtbreite 168,5 mm</v>
      </c>
      <c r="F35" s="132"/>
      <c r="G35" s="132"/>
    </row>
  </sheetData>
  <sheetProtection selectLockedCells="1"/>
  <mergeCells count="5">
    <mergeCell ref="E35:G35"/>
    <mergeCell ref="F20:F29"/>
    <mergeCell ref="D24:E24"/>
    <mergeCell ref="G24:H24"/>
    <mergeCell ref="D22:E22"/>
  </mergeCells>
  <phoneticPr fontId="0" type="noConversion"/>
  <pageMargins left="0.28000000000000003" right="0" top="0.28000000000000003" bottom="0.3" header="0" footer="0"/>
  <pageSetup paperSize="9" orientation="landscape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 enableFormatConditionsCalculation="0">
    <pageSetUpPr fitToPage="1"/>
  </sheetPr>
  <dimension ref="A1:M36"/>
  <sheetViews>
    <sheetView topLeftCell="B8" zoomScaleNormal="115" zoomScalePageLayoutView="115" workbookViewId="0">
      <selection activeCell="G2" sqref="G2"/>
    </sheetView>
  </sheetViews>
  <sheetFormatPr baseColWidth="10" defaultColWidth="10.83203125" defaultRowHeight="13" x14ac:dyDescent="0"/>
  <cols>
    <col min="1" max="1" width="1.6640625" style="6" hidden="1" customWidth="1"/>
    <col min="2" max="2" width="16.6640625" style="6" customWidth="1"/>
    <col min="3" max="3" width="2.1640625" style="6" customWidth="1"/>
    <col min="4" max="4" width="18.6640625" style="6" customWidth="1"/>
    <col min="5" max="6" width="15.6640625" style="6" customWidth="1"/>
    <col min="7" max="7" width="7.6640625" style="6" customWidth="1"/>
    <col min="8" max="9" width="15.6640625" style="6" customWidth="1"/>
    <col min="10" max="10" width="18.6640625" style="6" customWidth="1"/>
    <col min="11" max="11" width="2.1640625" style="6" customWidth="1"/>
    <col min="12" max="12" width="1.6640625" style="6" customWidth="1"/>
    <col min="13" max="13" width="15.83203125" style="6" customWidth="1"/>
    <col min="14" max="16384" width="10.83203125" style="6"/>
  </cols>
  <sheetData>
    <row r="1" spans="2:13"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91"/>
    </row>
    <row r="2" spans="2:13">
      <c r="B2" s="100"/>
      <c r="C2" s="100"/>
      <c r="D2" s="102" t="str">
        <f ca="1">txtKlappenbreite</f>
        <v>Klappenbreite</v>
      </c>
      <c r="E2" s="100"/>
      <c r="F2" s="28">
        <v>80</v>
      </c>
      <c r="G2" s="100" t="s">
        <v>4</v>
      </c>
      <c r="H2" s="100"/>
      <c r="I2" s="100"/>
      <c r="J2" s="100"/>
      <c r="K2" s="100"/>
      <c r="L2" s="100"/>
      <c r="M2" s="91"/>
    </row>
    <row r="3" spans="2:13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91"/>
    </row>
    <row r="4" spans="2:13">
      <c r="B4" s="100"/>
      <c r="C4" s="100"/>
      <c r="D4" s="102" t="str">
        <f ca="1">txtKantenüberstand</f>
        <v>Kantenüberstand</v>
      </c>
      <c r="E4" s="102" t="str">
        <f ca="1">txtvorne</f>
        <v>vorne</v>
      </c>
      <c r="F4" s="28">
        <v>2.5</v>
      </c>
      <c r="G4" s="100" t="s">
        <v>4</v>
      </c>
      <c r="H4" s="102" t="str">
        <f ca="1">txtoben_unten</f>
        <v>oben/unten</v>
      </c>
      <c r="I4" s="28">
        <v>2</v>
      </c>
      <c r="J4" s="100" t="s">
        <v>4</v>
      </c>
      <c r="K4" s="100"/>
      <c r="L4" s="100"/>
      <c r="M4" s="91"/>
    </row>
    <row r="5" spans="2:13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91"/>
    </row>
    <row r="6" spans="2:13">
      <c r="C6" s="34"/>
      <c r="M6" s="91"/>
    </row>
    <row r="7" spans="2:13" ht="16">
      <c r="C7" s="33" t="str">
        <f ca="1">CONCATENATE(txtAufriss,": ",txtSchutzumschlag)</f>
        <v>Aufriss: Schutzumschlag</v>
      </c>
      <c r="D7" s="33"/>
      <c r="E7" s="13"/>
    </row>
    <row r="8" spans="2:13">
      <c r="E8" s="13"/>
    </row>
    <row r="9" spans="2:13">
      <c r="D9" s="34" t="str">
        <f ca="1">CONCATENATE(txtVerlag,":")</f>
        <v>Verlag:</v>
      </c>
      <c r="E9" s="13" t="str">
        <f>strVerlag</f>
        <v/>
      </c>
      <c r="H9" s="13" t="str">
        <f ca="1">CONCATENATE(txtPappen,":")</f>
        <v>Pappen:</v>
      </c>
      <c r="I9" s="13" t="str">
        <f>strPappe</f>
        <v>1,5 mm</v>
      </c>
    </row>
    <row r="10" spans="2:13">
      <c r="D10" s="13" t="str">
        <f ca="1">CONCATENATE(txtTitel,":")</f>
        <v>Titel:</v>
      </c>
      <c r="E10" s="13" t="str">
        <f>strTitel</f>
        <v/>
      </c>
      <c r="H10" s="13" t="str">
        <f ca="1">CONCATENATE(txtRücken,":")</f>
        <v>Rücken:</v>
      </c>
      <c r="I10" s="13" t="str">
        <f>rundgerade</f>
        <v>rund</v>
      </c>
    </row>
    <row r="11" spans="2:13" ht="16">
      <c r="C11" s="33"/>
      <c r="D11" s="13" t="str">
        <f ca="1">CONCATENATE(txtFormat,":")</f>
        <v>Format:</v>
      </c>
      <c r="E11" s="13" t="str">
        <f ca="1">strFormat</f>
        <v xml:space="preserve"> x  mm; Klebebindung</v>
      </c>
      <c r="H11" s="13"/>
    </row>
    <row r="12" spans="2:13" ht="16">
      <c r="C12" s="33"/>
      <c r="D12" s="13" t="str">
        <f ca="1">CONCATENATE(txtUmfang,":")</f>
        <v>Umfang:</v>
      </c>
      <c r="E12" s="35" t="str">
        <f ca="1">strUmfang</f>
        <v xml:space="preserve"> Seiten</v>
      </c>
      <c r="K12" s="10"/>
    </row>
    <row r="13" spans="2:13">
      <c r="C13" s="13"/>
      <c r="D13" s="13" t="str">
        <f ca="1">CONCATENATE(txtPapier,":")</f>
        <v>Papier:</v>
      </c>
      <c r="E13" s="13" t="str">
        <f>strPapier</f>
        <v xml:space="preserve"> g/m²  fach</v>
      </c>
      <c r="H13" s="36" t="str">
        <f ca="1">CONCATENATE("+ 3 mm ",txtBeschnittzugabe_ringsrum)</f>
        <v>+ 3 mm Beschnittzugabe ringsrum</v>
      </c>
      <c r="K13" s="10"/>
    </row>
    <row r="14" spans="2:13">
      <c r="C14" s="13"/>
      <c r="K14" s="10"/>
    </row>
    <row r="15" spans="2:13" ht="14" thickBot="1">
      <c r="C15" s="68"/>
      <c r="D15" s="38"/>
      <c r="E15" s="38"/>
      <c r="F15" s="38"/>
      <c r="G15" s="38"/>
      <c r="H15" s="38"/>
      <c r="I15" s="38"/>
      <c r="J15" s="38"/>
      <c r="K15" s="39"/>
      <c r="L15" s="10"/>
      <c r="M15" s="69"/>
    </row>
    <row r="16" spans="2:13" ht="22" customHeight="1">
      <c r="C16" s="41"/>
      <c r="D16" s="44"/>
      <c r="E16" s="43"/>
      <c r="F16" s="43"/>
      <c r="G16" s="44"/>
      <c r="H16" s="43"/>
      <c r="I16" s="43"/>
      <c r="J16" s="44"/>
      <c r="K16" s="46"/>
      <c r="L16" s="10"/>
      <c r="M16" s="70"/>
    </row>
    <row r="17" spans="2:11" ht="22" customHeight="1">
      <c r="C17" s="41"/>
      <c r="D17" s="49"/>
      <c r="E17" s="10"/>
      <c r="F17" s="10"/>
      <c r="G17" s="49"/>
      <c r="H17" s="10"/>
      <c r="I17" s="10"/>
      <c r="J17" s="49"/>
      <c r="K17" s="46"/>
    </row>
    <row r="18" spans="2:11" ht="22" customHeight="1">
      <c r="C18" s="41"/>
      <c r="D18" s="49"/>
      <c r="E18" s="10"/>
      <c r="F18" s="10"/>
      <c r="G18" s="49"/>
      <c r="H18" s="10"/>
      <c r="I18" s="10"/>
      <c r="J18" s="49"/>
      <c r="K18" s="46"/>
    </row>
    <row r="19" spans="2:11" ht="22" customHeight="1">
      <c r="C19" s="41"/>
      <c r="D19" s="49"/>
      <c r="E19" s="10"/>
      <c r="F19" s="10"/>
      <c r="G19" s="126" t="str">
        <f>CONCATENATE(SchrenzBreite," mm")</f>
        <v>3 mm</v>
      </c>
      <c r="H19" s="10"/>
      <c r="I19" s="10"/>
      <c r="J19" s="49"/>
      <c r="K19" s="46"/>
    </row>
    <row r="20" spans="2:11" ht="22" customHeight="1">
      <c r="C20" s="41"/>
      <c r="D20" s="49"/>
      <c r="G20" s="126"/>
      <c r="J20" s="49"/>
      <c r="K20" s="46"/>
    </row>
    <row r="21" spans="2:11" ht="22" customHeight="1">
      <c r="C21" s="41"/>
      <c r="D21" s="49"/>
      <c r="E21" s="10"/>
      <c r="F21" s="10"/>
      <c r="G21" s="126"/>
      <c r="H21" s="10"/>
      <c r="I21" s="10"/>
      <c r="J21" s="49"/>
      <c r="K21" s="46"/>
    </row>
    <row r="22" spans="2:11" ht="22" customHeight="1">
      <c r="B22" s="6" t="str">
        <f ca="1">txtGesamthöhe</f>
        <v>Gesamthöhe</v>
      </c>
      <c r="C22" s="41"/>
      <c r="D22" s="49"/>
      <c r="E22" s="10"/>
      <c r="F22" s="10"/>
      <c r="G22" s="126"/>
      <c r="H22" s="10"/>
      <c r="I22" s="10"/>
      <c r="J22" s="49"/>
      <c r="K22" s="46"/>
    </row>
    <row r="23" spans="2:11" ht="22" customHeight="1">
      <c r="B23" s="6" t="str">
        <f>CONCATENATE(2*I4+FormatHöhe+6," mm")</f>
        <v>10 mm</v>
      </c>
      <c r="C23" s="41"/>
      <c r="D23" s="49"/>
      <c r="E23" s="135" t="str">
        <f ca="1">CONCATENATE(txtFormathöhe," + ",2 *I4," = ",2*I4+FormatHöhe," mm")</f>
        <v>Formathöhe + 4 = 4 mm</v>
      </c>
      <c r="F23" s="136"/>
      <c r="G23" s="127"/>
      <c r="H23" s="130"/>
      <c r="I23" s="131"/>
      <c r="J23" s="49"/>
      <c r="K23" s="46"/>
    </row>
    <row r="24" spans="2:11" ht="22" customHeight="1">
      <c r="C24" s="41"/>
      <c r="D24" s="49"/>
      <c r="E24" s="10"/>
      <c r="F24" s="10"/>
      <c r="G24" s="126"/>
      <c r="H24" s="10"/>
      <c r="I24" s="10"/>
      <c r="J24" s="49"/>
      <c r="K24" s="46"/>
    </row>
    <row r="25" spans="2:11" ht="22" customHeight="1">
      <c r="C25" s="41"/>
      <c r="D25" s="65" t="str">
        <f ca="1">IF(F2&gt;0,CONCATENATE(txtKlappenbreite," = 
",F2," mm"),CONCATENATE("??? ",txtKlappe," ???"))</f>
        <v>Klappenbreite = _x000D_80 mm</v>
      </c>
      <c r="E25" s="133" t="str">
        <f ca="1">CONCATENATE(txtFormatbreite," + ",F4," = ",FormatBreite+F4," mm")</f>
        <v>Formatbreite + 2,5 = 2,5 mm</v>
      </c>
      <c r="F25" s="134"/>
      <c r="G25" s="127"/>
      <c r="H25" s="133" t="str">
        <f ca="1">E25</f>
        <v>Formatbreite + 2,5 = 2,5 mm</v>
      </c>
      <c r="I25" s="133"/>
      <c r="J25" s="65" t="str">
        <f ca="1">D25</f>
        <v>Klappenbreite = _x000D_80 mm</v>
      </c>
      <c r="K25" s="46"/>
    </row>
    <row r="26" spans="2:11" ht="22" customHeight="1">
      <c r="C26" s="41"/>
      <c r="D26" s="49"/>
      <c r="E26" s="10"/>
      <c r="F26" s="10"/>
      <c r="G26" s="126"/>
      <c r="H26" s="10"/>
      <c r="I26" s="10"/>
      <c r="J26" s="49"/>
      <c r="K26" s="46"/>
    </row>
    <row r="27" spans="2:11" ht="22" customHeight="1">
      <c r="C27" s="41"/>
      <c r="D27" s="49"/>
      <c r="E27" s="10"/>
      <c r="F27" s="10"/>
      <c r="G27" s="126"/>
      <c r="H27" s="10"/>
      <c r="I27" s="10"/>
      <c r="J27" s="49"/>
      <c r="K27" s="46"/>
    </row>
    <row r="28" spans="2:11" ht="22" customHeight="1">
      <c r="C28" s="41"/>
      <c r="D28" s="49"/>
      <c r="E28" s="10"/>
      <c r="F28" s="10"/>
      <c r="G28" s="126"/>
      <c r="H28" s="10"/>
      <c r="I28" s="10"/>
      <c r="J28" s="49"/>
      <c r="K28" s="46"/>
    </row>
    <row r="29" spans="2:11" ht="22" customHeight="1">
      <c r="C29" s="41"/>
      <c r="D29" s="49"/>
      <c r="E29" s="10"/>
      <c r="F29" s="10"/>
      <c r="G29" s="49"/>
      <c r="H29" s="10"/>
      <c r="I29" s="10"/>
      <c r="J29" s="49"/>
      <c r="K29" s="46"/>
    </row>
    <row r="30" spans="2:11" ht="22" customHeight="1">
      <c r="C30" s="41"/>
      <c r="D30" s="49"/>
      <c r="E30" s="10"/>
      <c r="F30" s="10"/>
      <c r="G30" s="49"/>
      <c r="H30" s="10"/>
      <c r="I30" s="10"/>
      <c r="J30" s="49"/>
      <c r="K30" s="46"/>
    </row>
    <row r="31" spans="2:11" ht="22" customHeight="1">
      <c r="C31" s="41"/>
      <c r="D31" s="49"/>
      <c r="E31" s="10"/>
      <c r="F31" s="10"/>
      <c r="G31" s="49"/>
      <c r="H31" s="10"/>
      <c r="I31" s="10"/>
      <c r="J31" s="49"/>
      <c r="K31" s="46"/>
    </row>
    <row r="32" spans="2:11" ht="22" customHeight="1" thickBot="1">
      <c r="C32" s="41"/>
      <c r="D32" s="55"/>
      <c r="E32" s="54"/>
      <c r="F32" s="54"/>
      <c r="G32" s="55"/>
      <c r="H32" s="54"/>
      <c r="I32" s="54"/>
      <c r="J32" s="55"/>
      <c r="K32" s="46"/>
    </row>
    <row r="33" spans="3:11" ht="11" customHeight="1">
      <c r="C33" s="57"/>
      <c r="D33" s="58"/>
      <c r="E33" s="58"/>
      <c r="F33" s="58"/>
      <c r="G33" s="58"/>
      <c r="H33" s="58"/>
      <c r="I33" s="58"/>
      <c r="J33" s="58"/>
      <c r="K33" s="59"/>
    </row>
    <row r="34" spans="3:11">
      <c r="D34" s="137" t="str">
        <f ca="1">CONCATENATE(txtKantenumlauf," = ",Pappe+0.7," mm")</f>
        <v>Kantenumlauf = 2,2 mm</v>
      </c>
      <c r="E34" s="137"/>
      <c r="I34" s="137" t="str">
        <f ca="1">D34</f>
        <v>Kantenumlauf = 2,2 mm</v>
      </c>
      <c r="J34" s="137"/>
    </row>
    <row r="36" spans="3:11">
      <c r="F36" s="13"/>
      <c r="G36" s="117" t="str">
        <f ca="1">CONCATENATE(txtGesamtbreite," ",2*(F2+F4+FormatBreite)+SchrenzBreite+6," mm")</f>
        <v>Gesamtbreite 174 mm</v>
      </c>
    </row>
  </sheetData>
  <sheetProtection selectLockedCells="1"/>
  <mergeCells count="7">
    <mergeCell ref="D34:E34"/>
    <mergeCell ref="I34:J34"/>
    <mergeCell ref="G19:G28"/>
    <mergeCell ref="E25:F25"/>
    <mergeCell ref="H25:I25"/>
    <mergeCell ref="H23:I23"/>
    <mergeCell ref="E23:F23"/>
  </mergeCells>
  <phoneticPr fontId="0" type="noConversion"/>
  <pageMargins left="0.31496062992125984" right="0" top="0.27559055118110237" bottom="0.31496062992125984" header="0" footer="0"/>
  <pageSetup paperSize="9" scale="98" orientation="landscape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 enableFormatConditionsCalculation="0"/>
  <dimension ref="A1:P41"/>
  <sheetViews>
    <sheetView zoomScale="95" zoomScaleNormal="95" zoomScalePageLayoutView="95" workbookViewId="0">
      <selection activeCell="K42" sqref="K42"/>
    </sheetView>
  </sheetViews>
  <sheetFormatPr baseColWidth="10" defaultColWidth="10.83203125" defaultRowHeight="13" x14ac:dyDescent="0"/>
  <cols>
    <col min="1" max="1" width="16.6640625" style="6" customWidth="1"/>
    <col min="2" max="2" width="4.6640625" style="6" customWidth="1"/>
    <col min="3" max="3" width="18.6640625" style="6" customWidth="1"/>
    <col min="4" max="4" width="21.5" style="6" customWidth="1"/>
    <col min="5" max="5" width="1.33203125" style="6" customWidth="1"/>
    <col min="6" max="6" width="2.6640625" style="6" customWidth="1"/>
    <col min="7" max="7" width="7.6640625" style="6" customWidth="1"/>
    <col min="8" max="8" width="2.6640625" style="6" customWidth="1"/>
    <col min="9" max="9" width="1.33203125" style="6" customWidth="1"/>
    <col min="10" max="10" width="13.6640625" style="6" customWidth="1"/>
    <col min="11" max="11" width="25.6640625" style="6" customWidth="1"/>
    <col min="12" max="12" width="4.6640625" style="6" customWidth="1"/>
    <col min="13" max="13" width="2.6640625" style="6" customWidth="1"/>
    <col min="14" max="14" width="17.33203125" style="6" customWidth="1"/>
    <col min="15" max="16384" width="10.83203125" style="6"/>
  </cols>
  <sheetData>
    <row r="1" spans="1:14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4">
      <c r="A2" s="100"/>
      <c r="B2" s="100"/>
      <c r="C2" s="102" t="str">
        <f ca="1">txtKantenüberstand</f>
        <v>Kantenüberstand</v>
      </c>
      <c r="D2" s="102" t="str">
        <f ca="1">txtoben_unten</f>
        <v>oben/unten</v>
      </c>
      <c r="E2" s="144">
        <v>2</v>
      </c>
      <c r="F2" s="145"/>
      <c r="G2" s="100" t="s">
        <v>4</v>
      </c>
      <c r="H2" s="100"/>
      <c r="I2" s="100"/>
      <c r="J2" s="100"/>
      <c r="K2" s="100"/>
      <c r="L2" s="100"/>
      <c r="M2" s="100"/>
    </row>
    <row r="3" spans="1:14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4">
      <c r="A4" s="100"/>
      <c r="B4" s="100"/>
      <c r="C4" s="100"/>
      <c r="D4" s="102" t="str">
        <f ca="1">txtvorne</f>
        <v>vorne</v>
      </c>
      <c r="E4" s="144">
        <v>2.5</v>
      </c>
      <c r="F4" s="145"/>
      <c r="G4" s="100" t="s">
        <v>4</v>
      </c>
      <c r="H4" s="100"/>
      <c r="I4" s="102">
        <v>2</v>
      </c>
      <c r="J4" s="100"/>
      <c r="K4" s="100"/>
      <c r="L4" s="100"/>
      <c r="M4" s="100"/>
    </row>
    <row r="5" spans="1:14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4" ht="8.25" customHeight="1"/>
    <row r="7" spans="1:14" ht="16">
      <c r="B7" s="33" t="str">
        <f ca="1">CONCATENATE(txtAufriss,": ",txtBezug)</f>
        <v>Aufriss: Bezug</v>
      </c>
      <c r="C7" s="33"/>
    </row>
    <row r="8" spans="1:14" ht="8.25" customHeight="1"/>
    <row r="9" spans="1:14">
      <c r="C9" s="34" t="str">
        <f ca="1">CONCATENATE(txtVerlag,":")</f>
        <v>Verlag:</v>
      </c>
      <c r="D9" s="13" t="str">
        <f>strVerlag</f>
        <v/>
      </c>
      <c r="J9" s="13" t="str">
        <f ca="1">CONCATENATE(txtPappen,":")</f>
        <v>Pappen:</v>
      </c>
      <c r="K9" s="13" t="str">
        <f>strPappe</f>
        <v>1,5 mm</v>
      </c>
    </row>
    <row r="10" spans="1:14">
      <c r="C10" s="13" t="str">
        <f ca="1">CONCATENATE(txtTitel,":")</f>
        <v>Titel:</v>
      </c>
      <c r="D10" s="13" t="str">
        <f>strTitel</f>
        <v/>
      </c>
      <c r="J10" s="13" t="str">
        <f ca="1">CONCATENATE(txtRücken,":")</f>
        <v>Rücken:</v>
      </c>
      <c r="K10" s="13" t="str">
        <f>rundgerade</f>
        <v>rund</v>
      </c>
    </row>
    <row r="11" spans="1:14" ht="16">
      <c r="B11" s="33"/>
      <c r="C11" s="13" t="str">
        <f ca="1">CONCATENATE(txtFormat,":")</f>
        <v>Format:</v>
      </c>
      <c r="D11" s="13" t="str">
        <f ca="1">strFormat</f>
        <v xml:space="preserve"> x  mm; Klebebindung</v>
      </c>
    </row>
    <row r="12" spans="1:14" ht="16">
      <c r="B12" s="33"/>
      <c r="C12" s="13" t="str">
        <f ca="1">CONCATENATE(txtUmfang,":")</f>
        <v>Umfang:</v>
      </c>
      <c r="D12" s="35" t="str">
        <f ca="1">strUmfang</f>
        <v xml:space="preserve"> Seiten</v>
      </c>
    </row>
    <row r="13" spans="1:14">
      <c r="B13" s="13"/>
      <c r="C13" s="13" t="str">
        <f ca="1">CONCATENATE(txtPapier,":")</f>
        <v>Papier:</v>
      </c>
      <c r="D13" s="13" t="str">
        <f>strPapier</f>
        <v xml:space="preserve"> g/m²  fach</v>
      </c>
      <c r="J13" s="13" t="str">
        <f ca="1">CONCATENATE(txtMindestens," ",Pappe + 13," mm ",txtEinschlag_ringsum)</f>
        <v>Mindestens 14,5 mm Einschlag_ringsum</v>
      </c>
      <c r="K13" s="13"/>
    </row>
    <row r="14" spans="1:14">
      <c r="B14" s="13"/>
      <c r="L14" s="10"/>
    </row>
    <row r="15" spans="1:14" ht="12.75" customHeight="1"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3"/>
      <c r="M15" s="10"/>
      <c r="N15" s="74"/>
    </row>
    <row r="16" spans="1:14" ht="12.75" customHeight="1" thickBot="1">
      <c r="B16" s="75"/>
      <c r="C16" s="10"/>
      <c r="D16" s="10"/>
      <c r="E16" s="10"/>
      <c r="F16" s="10"/>
      <c r="G16" s="10"/>
      <c r="H16" s="10"/>
      <c r="I16" s="10"/>
      <c r="J16" s="10"/>
      <c r="K16" s="10"/>
      <c r="L16" s="76"/>
      <c r="M16" s="75"/>
      <c r="N16" s="10"/>
    </row>
    <row r="17" spans="1:16" ht="22" customHeight="1">
      <c r="B17" s="75"/>
      <c r="C17" s="42"/>
      <c r="D17" s="43"/>
      <c r="E17" s="77"/>
      <c r="F17" s="43"/>
      <c r="G17" s="44"/>
      <c r="H17" s="43"/>
      <c r="I17" s="78"/>
      <c r="J17" s="43"/>
      <c r="K17" s="79"/>
      <c r="L17" s="76"/>
    </row>
    <row r="18" spans="1:16" ht="22" customHeight="1">
      <c r="B18" s="75"/>
      <c r="C18" s="48"/>
      <c r="D18" s="10"/>
      <c r="E18" s="41"/>
      <c r="F18" s="10"/>
      <c r="G18" s="49"/>
      <c r="H18" s="10"/>
      <c r="I18" s="46"/>
      <c r="J18" s="10"/>
      <c r="K18" s="50"/>
      <c r="L18" s="76"/>
    </row>
    <row r="19" spans="1:16" ht="22" customHeight="1">
      <c r="B19" s="75"/>
      <c r="C19" s="48"/>
      <c r="D19" s="10"/>
      <c r="E19" s="41"/>
      <c r="F19" s="10"/>
      <c r="G19" s="49"/>
      <c r="H19" s="10"/>
      <c r="I19" s="46"/>
      <c r="J19" s="10"/>
      <c r="K19" s="50"/>
      <c r="L19" s="76"/>
    </row>
    <row r="20" spans="1:16" ht="22" customHeight="1">
      <c r="B20" s="75"/>
      <c r="C20" s="48"/>
      <c r="D20" s="10"/>
      <c r="E20" s="41"/>
      <c r="F20" s="10"/>
      <c r="G20" s="49"/>
      <c r="H20" s="10"/>
      <c r="I20" s="46"/>
      <c r="J20" s="10"/>
      <c r="K20" s="50"/>
      <c r="L20" s="76"/>
    </row>
    <row r="21" spans="1:16" ht="22" customHeight="1">
      <c r="B21" s="75"/>
      <c r="C21" s="48"/>
      <c r="D21" s="10"/>
      <c r="E21" s="41"/>
      <c r="F21" s="10"/>
      <c r="G21" s="49"/>
      <c r="H21" s="10"/>
      <c r="I21" s="46"/>
      <c r="J21" s="10"/>
      <c r="K21" s="50"/>
      <c r="L21" s="76"/>
    </row>
    <row r="22" spans="1:16" ht="22" customHeight="1">
      <c r="B22" s="75"/>
      <c r="C22" s="48"/>
      <c r="D22" s="10"/>
      <c r="E22" s="41"/>
      <c r="F22" s="10"/>
      <c r="G22" s="126" t="str">
        <f>CONCATENATE(SchrenzBreite," mm")</f>
        <v>3 mm</v>
      </c>
      <c r="H22" s="10"/>
      <c r="I22" s="46"/>
      <c r="J22" s="10"/>
      <c r="K22" s="50"/>
      <c r="L22" s="76"/>
      <c r="N22" s="80"/>
      <c r="O22" s="13"/>
      <c r="P22" s="13"/>
    </row>
    <row r="23" spans="1:16" ht="31.75" customHeight="1">
      <c r="B23" s="75"/>
      <c r="C23" s="140" t="str">
        <f ca="1">CONCATENATE(txtFormatbreite," + ",txtKante," =  ",Falzbreite+ Pappenbreite+E4," mm")</f>
        <v>Formatbreite + Kante =  2,5 mm</v>
      </c>
      <c r="D23" s="141"/>
      <c r="E23" s="41"/>
      <c r="F23" s="10"/>
      <c r="G23" s="126"/>
      <c r="H23" s="10"/>
      <c r="I23" s="10"/>
      <c r="J23" s="138" t="str">
        <f ca="1">C23</f>
        <v>Formatbreite + Kante =  2,5 mm</v>
      </c>
      <c r="K23" s="139"/>
      <c r="L23" s="76"/>
      <c r="N23" s="81"/>
      <c r="O23" s="82"/>
      <c r="P23" s="13"/>
    </row>
    <row r="24" spans="1:16" ht="22" customHeight="1">
      <c r="A24" s="6" t="str">
        <f ca="1">txtGesamthöhe</f>
        <v>Gesamthöhe</v>
      </c>
      <c r="B24" s="75"/>
      <c r="C24" s="114" t="str">
        <f ca="1">CONCATENATE(txtFormathöhe," + ",txtKante," = ",2*E2+FormatHöhe," mm")</f>
        <v>Formathöhe + Kante = 4 mm</v>
      </c>
      <c r="D24" s="10"/>
      <c r="E24" s="41"/>
      <c r="F24" s="10"/>
      <c r="G24" s="126"/>
      <c r="H24" s="10"/>
      <c r="I24" s="46"/>
      <c r="J24" s="10"/>
      <c r="K24" s="50"/>
      <c r="L24" s="76"/>
      <c r="N24" s="13"/>
      <c r="O24" s="13"/>
      <c r="P24" s="13"/>
    </row>
    <row r="25" spans="1:16" ht="22" customHeight="1">
      <c r="A25" s="6" t="str">
        <f>CONCATENATE(2*(E2+Pappe+13)+FormatHöhe," mm")</f>
        <v>33 mm</v>
      </c>
      <c r="B25" s="75"/>
      <c r="C25" s="48"/>
      <c r="D25" s="10"/>
      <c r="E25" s="41"/>
      <c r="F25" s="10"/>
      <c r="G25" s="126"/>
      <c r="H25" s="10"/>
      <c r="I25" s="46"/>
      <c r="J25" s="10"/>
      <c r="K25" s="50"/>
      <c r="L25" s="76"/>
      <c r="N25" s="13"/>
      <c r="O25" s="13"/>
      <c r="P25" s="13"/>
    </row>
    <row r="26" spans="1:16" ht="22" customHeight="1">
      <c r="B26" s="75"/>
      <c r="C26" s="48"/>
      <c r="D26" s="10"/>
      <c r="E26" s="41"/>
      <c r="F26" s="10"/>
      <c r="G26" s="126"/>
      <c r="H26" s="10"/>
      <c r="I26" s="46"/>
      <c r="J26" s="10"/>
      <c r="K26" s="50"/>
      <c r="L26" s="76"/>
      <c r="N26" s="13"/>
      <c r="O26" s="13"/>
      <c r="P26" s="13"/>
    </row>
    <row r="27" spans="1:16" ht="22" customHeight="1">
      <c r="B27" s="75"/>
      <c r="C27" s="48"/>
      <c r="D27" s="10"/>
      <c r="E27" s="41"/>
      <c r="F27" s="10"/>
      <c r="G27" s="126"/>
      <c r="H27" s="10"/>
      <c r="I27" s="46"/>
      <c r="J27" s="10"/>
      <c r="K27" s="50"/>
      <c r="L27" s="76"/>
      <c r="N27" s="13"/>
      <c r="O27" s="13"/>
      <c r="P27" s="13"/>
    </row>
    <row r="28" spans="1:16" ht="22" customHeight="1">
      <c r="B28" s="75"/>
      <c r="C28" s="48"/>
      <c r="D28" s="10"/>
      <c r="E28" s="41"/>
      <c r="F28" s="10"/>
      <c r="G28" s="126"/>
      <c r="H28" s="10"/>
      <c r="I28" s="46"/>
      <c r="J28" s="10"/>
      <c r="K28" s="50"/>
      <c r="L28" s="76"/>
    </row>
    <row r="29" spans="1:16" ht="22" customHeight="1">
      <c r="B29" s="75"/>
      <c r="C29" s="48"/>
      <c r="D29" s="10"/>
      <c r="E29" s="41"/>
      <c r="F29" s="10"/>
      <c r="G29" s="126"/>
      <c r="H29" s="10"/>
      <c r="I29" s="46"/>
      <c r="J29" s="10"/>
      <c r="K29" s="50"/>
      <c r="L29" s="76"/>
    </row>
    <row r="30" spans="1:16" ht="12" customHeight="1">
      <c r="B30" s="75"/>
      <c r="C30" s="48"/>
      <c r="D30" s="10"/>
      <c r="E30" s="41"/>
      <c r="F30" s="10"/>
      <c r="G30" s="126"/>
      <c r="H30" s="10"/>
      <c r="I30" s="46"/>
      <c r="J30" s="84"/>
      <c r="K30" s="50"/>
      <c r="L30" s="76"/>
    </row>
    <row r="31" spans="1:16" ht="22" customHeight="1">
      <c r="B31" s="75"/>
      <c r="C31" s="48"/>
      <c r="D31" s="10"/>
      <c r="E31" s="41"/>
      <c r="F31" s="10"/>
      <c r="G31" s="126"/>
      <c r="H31" s="10"/>
      <c r="I31" s="46"/>
      <c r="J31" s="10"/>
      <c r="K31" s="50"/>
      <c r="L31" s="76"/>
    </row>
    <row r="32" spans="1:16" ht="22" customHeight="1">
      <c r="B32" s="75"/>
      <c r="C32" s="48"/>
      <c r="D32" s="10"/>
      <c r="E32" s="41"/>
      <c r="F32" s="10"/>
      <c r="G32" s="49"/>
      <c r="H32" s="10"/>
      <c r="I32" s="46"/>
      <c r="J32" s="10"/>
      <c r="K32" s="50"/>
      <c r="L32" s="76"/>
    </row>
    <row r="33" spans="2:12" ht="22" customHeight="1" thickBot="1">
      <c r="B33" s="75"/>
      <c r="C33" s="53"/>
      <c r="D33" s="54"/>
      <c r="E33" s="85"/>
      <c r="F33" s="54"/>
      <c r="G33" s="55"/>
      <c r="H33" s="54"/>
      <c r="I33" s="86"/>
      <c r="J33" s="54"/>
      <c r="K33" s="56"/>
      <c r="L33" s="76"/>
    </row>
    <row r="34" spans="2:12" ht="12.75" customHeight="1">
      <c r="B34" s="75"/>
      <c r="C34" s="10"/>
      <c r="D34" s="43"/>
      <c r="E34" s="142" t="str">
        <f>CONCATENATE(,Falzbreite,)</f>
        <v>7,5</v>
      </c>
      <c r="F34" s="142"/>
      <c r="G34" s="10"/>
      <c r="H34" s="142" t="str">
        <f>E34</f>
        <v>7,5</v>
      </c>
      <c r="I34" s="142"/>
      <c r="J34" s="43"/>
      <c r="K34" s="10"/>
      <c r="L34" s="76"/>
    </row>
    <row r="35" spans="2:12">
      <c r="B35" s="87"/>
      <c r="C35" s="88"/>
      <c r="D35" s="88"/>
      <c r="E35" s="143"/>
      <c r="F35" s="143"/>
      <c r="G35" s="88"/>
      <c r="H35" s="143"/>
      <c r="I35" s="143"/>
      <c r="J35" s="88"/>
      <c r="K35" s="88"/>
      <c r="L35" s="89"/>
    </row>
    <row r="36" spans="2:12">
      <c r="E36" s="143"/>
      <c r="F36" s="143"/>
      <c r="H36" s="143"/>
      <c r="I36" s="143"/>
    </row>
    <row r="37" spans="2:12" ht="2.25" customHeight="1">
      <c r="E37" s="143"/>
      <c r="F37" s="143"/>
      <c r="H37" s="143"/>
      <c r="I37" s="143"/>
    </row>
    <row r="38" spans="2:12" ht="3.75" customHeight="1">
      <c r="E38" s="143"/>
      <c r="F38" s="143"/>
      <c r="H38" s="143"/>
      <c r="I38" s="143"/>
    </row>
    <row r="39" spans="2:12">
      <c r="E39" s="90"/>
      <c r="F39" s="90"/>
      <c r="H39" s="90"/>
      <c r="I39" s="90"/>
    </row>
    <row r="40" spans="2:12">
      <c r="D40" s="91"/>
      <c r="E40" s="91"/>
      <c r="F40" s="92"/>
      <c r="G40" s="93" t="str">
        <f ca="1">CONCATENATE(txtGesamtbreite," ",2*(E4+Pappenbreite+Falzbreite+Pappe+13)+SchrenzBreite," mm")</f>
        <v>Gesamtbreite 37 mm</v>
      </c>
      <c r="H40" s="92"/>
      <c r="I40" s="92"/>
      <c r="J40" s="91"/>
    </row>
    <row r="41" spans="2:12">
      <c r="E41" s="90"/>
      <c r="F41" s="90"/>
      <c r="H41" s="90"/>
      <c r="I41" s="90"/>
    </row>
  </sheetData>
  <sheetProtection selectLockedCells="1"/>
  <mergeCells count="7">
    <mergeCell ref="E2:F2"/>
    <mergeCell ref="E4:F4"/>
    <mergeCell ref="J23:K23"/>
    <mergeCell ref="C23:D23"/>
    <mergeCell ref="G22:G31"/>
    <mergeCell ref="E34:F38"/>
    <mergeCell ref="H34:I38"/>
  </mergeCells>
  <phoneticPr fontId="0" type="noConversion"/>
  <pageMargins left="0.72" right="0" top="0.17" bottom="0" header="0.17" footer="0"/>
  <pageSetup paperSize="9" scale="95" orientation="landscape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 enableFormatConditionsCalculation="0"/>
  <dimension ref="A1:T45"/>
  <sheetViews>
    <sheetView topLeftCell="A20" zoomScale="95" zoomScaleNormal="95" zoomScalePageLayoutView="95" workbookViewId="0">
      <selection activeCell="S32" sqref="S32"/>
    </sheetView>
  </sheetViews>
  <sheetFormatPr baseColWidth="10" defaultColWidth="10.83203125" defaultRowHeight="13" x14ac:dyDescent="0"/>
  <cols>
    <col min="1" max="1" width="16.6640625" style="6" customWidth="1"/>
    <col min="2" max="2" width="4.6640625" style="6" customWidth="1"/>
    <col min="3" max="3" width="18.6640625" style="6" customWidth="1"/>
    <col min="4" max="4" width="13.6640625" style="6" customWidth="1"/>
    <col min="5" max="5" width="3" style="6" customWidth="1"/>
    <col min="6" max="6" width="3.33203125" style="6" customWidth="1"/>
    <col min="7" max="7" width="1.33203125" style="6" customWidth="1"/>
    <col min="8" max="8" width="2.6640625" style="6" customWidth="1"/>
    <col min="9" max="9" width="7.6640625" style="6" customWidth="1"/>
    <col min="10" max="10" width="2.6640625" style="6" customWidth="1"/>
    <col min="11" max="11" width="1.33203125" style="6" customWidth="1"/>
    <col min="12" max="12" width="3.33203125" style="6" customWidth="1"/>
    <col min="13" max="13" width="3" style="6" customWidth="1"/>
    <col min="14" max="14" width="8.6640625" style="6" customWidth="1"/>
    <col min="15" max="15" width="22.6640625" style="6" customWidth="1"/>
    <col min="16" max="16" width="4.6640625" style="6" customWidth="1"/>
    <col min="17" max="17" width="2.6640625" style="6" customWidth="1"/>
    <col min="18" max="18" width="17.33203125" style="6" customWidth="1"/>
    <col min="19" max="16384" width="10.83203125" style="6"/>
  </cols>
  <sheetData>
    <row r="1" spans="1:17" ht="5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>
      <c r="A2" s="100"/>
      <c r="B2" s="100"/>
      <c r="C2" s="102" t="str">
        <f ca="1">txtKantenüberstand</f>
        <v>Kantenüberstand</v>
      </c>
      <c r="D2" s="102" t="str">
        <f ca="1">txtoben_unten</f>
        <v>oben/unten</v>
      </c>
      <c r="E2" s="102"/>
      <c r="F2" s="102"/>
      <c r="G2" s="144">
        <v>2</v>
      </c>
      <c r="H2" s="145"/>
      <c r="I2" s="100" t="s">
        <v>4</v>
      </c>
      <c r="J2" s="100"/>
      <c r="K2" s="100"/>
      <c r="L2" s="102"/>
      <c r="M2" s="102"/>
      <c r="N2" s="100"/>
      <c r="O2" s="100"/>
      <c r="P2" s="100"/>
      <c r="Q2" s="100"/>
    </row>
    <row r="3" spans="1:17" ht="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7">
      <c r="A4" s="100"/>
      <c r="B4" s="100"/>
      <c r="C4" s="100"/>
      <c r="D4" s="102" t="str">
        <f ca="1">txtvorne</f>
        <v>vorne</v>
      </c>
      <c r="E4" s="102"/>
      <c r="F4" s="102"/>
      <c r="G4" s="144">
        <v>2.5</v>
      </c>
      <c r="H4" s="145"/>
      <c r="I4" s="100" t="s">
        <v>4</v>
      </c>
      <c r="J4" s="100"/>
      <c r="K4" s="102">
        <v>2</v>
      </c>
      <c r="L4" s="102"/>
      <c r="M4" s="102"/>
      <c r="N4" s="100"/>
      <c r="O4" s="100"/>
      <c r="P4" s="100"/>
      <c r="Q4" s="100"/>
    </row>
    <row r="5" spans="1:17" ht="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</row>
    <row r="6" spans="1:17">
      <c r="A6" s="100"/>
      <c r="B6" s="100"/>
      <c r="C6" s="102" t="str">
        <f ca="1">CONCATENATE(txtSichtbarer_Leinenstreifen," (",txtinkl," ",txtFalz,")")</f>
        <v>Sichtbarer Leinenstreifen (inkl. Falz)</v>
      </c>
      <c r="D6" s="102"/>
      <c r="E6" s="102"/>
      <c r="F6" s="102"/>
      <c r="G6" s="144">
        <v>10</v>
      </c>
      <c r="H6" s="145"/>
      <c r="I6" s="100" t="s">
        <v>4</v>
      </c>
      <c r="J6" s="100"/>
      <c r="K6" s="100"/>
      <c r="L6" s="102"/>
      <c r="M6" s="102"/>
      <c r="N6" s="100"/>
      <c r="O6" s="100"/>
      <c r="P6" s="100"/>
      <c r="Q6" s="100"/>
    </row>
    <row r="7" spans="1:17" ht="5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</row>
    <row r="8" spans="1:17">
      <c r="A8" s="100"/>
      <c r="B8" s="100"/>
      <c r="C8" s="102" t="str">
        <f ca="1">txtUnterlappung</f>
        <v xml:space="preserve">Unterlappung </v>
      </c>
      <c r="D8" s="102"/>
      <c r="E8" s="102"/>
      <c r="F8" s="102"/>
      <c r="G8" s="144">
        <v>12</v>
      </c>
      <c r="H8" s="145"/>
      <c r="I8" s="100" t="s">
        <v>4</v>
      </c>
      <c r="J8" s="100"/>
      <c r="K8" s="102">
        <v>2</v>
      </c>
      <c r="L8" s="102"/>
      <c r="M8" s="102"/>
      <c r="N8" s="100"/>
      <c r="O8" s="100"/>
      <c r="P8" s="100"/>
      <c r="Q8" s="100"/>
    </row>
    <row r="9" spans="1:17" ht="5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</row>
    <row r="10" spans="1:17" ht="8.25" customHeight="1"/>
    <row r="11" spans="1:17" ht="16">
      <c r="B11" s="94" t="str">
        <f ca="1">CONCATENATE(txtAufriss,": ",txtHalbleinenband)</f>
        <v>Aufriss: Halbleinenband</v>
      </c>
      <c r="C11" s="10"/>
    </row>
    <row r="12" spans="1:17" ht="8.25" customHeight="1">
      <c r="B12" s="94"/>
      <c r="C12" s="10"/>
    </row>
    <row r="13" spans="1:17">
      <c r="B13" s="34"/>
      <c r="C13" s="34" t="str">
        <f ca="1">CONCATENATE(txtVerlag,":")</f>
        <v>Verlag:</v>
      </c>
      <c r="D13" s="13" t="str">
        <f>strVerlag</f>
        <v/>
      </c>
      <c r="E13" s="13"/>
      <c r="F13" s="13"/>
      <c r="L13" s="13"/>
      <c r="M13" s="13"/>
      <c r="N13" s="13" t="str">
        <f ca="1">CONCATENATE(txtPappen,":")</f>
        <v>Pappen:</v>
      </c>
      <c r="O13" s="13" t="str">
        <f>strPappe</f>
        <v>1,5 mm</v>
      </c>
    </row>
    <row r="14" spans="1:17">
      <c r="B14" s="13"/>
      <c r="C14" s="13" t="str">
        <f ca="1">CONCATENATE(txtTitel,":")</f>
        <v>Titel:</v>
      </c>
      <c r="D14" s="13" t="str">
        <f>strTitel</f>
        <v/>
      </c>
      <c r="E14" s="13"/>
      <c r="F14" s="13"/>
      <c r="L14" s="13"/>
      <c r="M14" s="13"/>
      <c r="N14" s="13" t="str">
        <f ca="1">CONCATENATE(txtRücken,":")</f>
        <v>Rücken:</v>
      </c>
      <c r="O14" s="13" t="str">
        <f>rundgerade</f>
        <v>rund</v>
      </c>
    </row>
    <row r="15" spans="1:17">
      <c r="B15" s="13"/>
      <c r="C15" s="13" t="str">
        <f ca="1">CONCATENATE(txtFormat,":")</f>
        <v>Format:</v>
      </c>
      <c r="D15" s="13" t="str">
        <f ca="1">strFormat</f>
        <v xml:space="preserve"> x  mm; Klebebindung</v>
      </c>
      <c r="E15" s="13"/>
      <c r="F15" s="13"/>
      <c r="L15" s="13"/>
      <c r="M15" s="13"/>
    </row>
    <row r="16" spans="1:17">
      <c r="B16" s="34"/>
      <c r="C16" s="13" t="str">
        <f ca="1">CONCATENATE(txtUmfang,":")</f>
        <v>Umfang:</v>
      </c>
      <c r="D16" s="35" t="str">
        <f ca="1">strUmfang</f>
        <v xml:space="preserve"> Seiten</v>
      </c>
      <c r="E16" s="35"/>
      <c r="F16" s="35"/>
      <c r="L16" s="35"/>
      <c r="M16" s="35"/>
    </row>
    <row r="17" spans="1:20">
      <c r="B17" s="13"/>
      <c r="C17" s="13" t="str">
        <f ca="1">CONCATENATE(txtPapier,":")</f>
        <v>Papier:</v>
      </c>
      <c r="D17" s="13" t="str">
        <f>strPapier</f>
        <v xml:space="preserve"> g/m²  fach</v>
      </c>
      <c r="E17" s="13"/>
      <c r="F17" s="13"/>
      <c r="L17" s="13"/>
      <c r="M17" s="13"/>
      <c r="N17" s="13" t="str">
        <f ca="1">CONCATENATE(txtMindestens," ",Pappe + 13," mm ",txtEinschlag_ringsum)</f>
        <v>Mindestens 14,5 mm Einschlag_ringsum</v>
      </c>
      <c r="O17" s="13"/>
    </row>
    <row r="18" spans="1:20">
      <c r="B18" s="13"/>
      <c r="P18" s="10"/>
    </row>
    <row r="19" spans="1:20" ht="12.75" customHeight="1"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3"/>
      <c r="Q19" s="10"/>
      <c r="R19" s="74"/>
    </row>
    <row r="20" spans="1:20" ht="12.75" customHeight="1" thickBot="1">
      <c r="B20" s="75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76"/>
      <c r="Q20" s="10"/>
      <c r="R20" s="10"/>
    </row>
    <row r="21" spans="1:20" ht="22" customHeight="1">
      <c r="B21" s="75"/>
      <c r="C21" s="42"/>
      <c r="D21" s="43"/>
      <c r="E21" s="146" t="str">
        <f ca="1">CONCATENATE(txtUnterlappung," =  ",G8," mm")</f>
        <v>Unterlappung  =  12 mm</v>
      </c>
      <c r="F21" s="149" t="str">
        <f ca="1">CONCATENATE(C6," =  ",G6," mm")</f>
        <v>Sichtbarer Leinenstreifen (inkl. Falz) =  10 mm</v>
      </c>
      <c r="G21" s="95"/>
      <c r="H21" s="43"/>
      <c r="I21" s="44"/>
      <c r="J21" s="43"/>
      <c r="K21" s="96"/>
      <c r="L21" s="159" t="str">
        <f ca="1">F21</f>
        <v>Sichtbarer Leinenstreifen (inkl. Falz) =  10 mm</v>
      </c>
      <c r="M21" s="146" t="str">
        <f ca="1">E21</f>
        <v>Unterlappung  =  12 mm</v>
      </c>
      <c r="N21" s="43"/>
      <c r="O21" s="79"/>
      <c r="P21" s="76"/>
    </row>
    <row r="22" spans="1:20" ht="22" customHeight="1">
      <c r="B22" s="75"/>
      <c r="C22" s="48"/>
      <c r="D22" s="10"/>
      <c r="E22" s="147"/>
      <c r="F22" s="150"/>
      <c r="G22" s="75"/>
      <c r="H22" s="10"/>
      <c r="I22" s="49"/>
      <c r="J22" s="10"/>
      <c r="K22" s="76"/>
      <c r="L22" s="160"/>
      <c r="M22" s="157"/>
      <c r="N22" s="10"/>
      <c r="O22" s="50"/>
      <c r="P22" s="76"/>
    </row>
    <row r="23" spans="1:20" ht="22" customHeight="1">
      <c r="B23" s="75"/>
      <c r="C23" s="48"/>
      <c r="D23" s="10"/>
      <c r="E23" s="147"/>
      <c r="F23" s="150"/>
      <c r="G23" s="75"/>
      <c r="H23" s="10"/>
      <c r="I23" s="49"/>
      <c r="J23" s="10"/>
      <c r="K23" s="76"/>
      <c r="L23" s="160"/>
      <c r="M23" s="157"/>
      <c r="N23" s="10"/>
      <c r="O23" s="50"/>
      <c r="P23" s="76"/>
    </row>
    <row r="24" spans="1:20" ht="22" customHeight="1">
      <c r="B24" s="75"/>
      <c r="C24" s="48"/>
      <c r="D24" s="10"/>
      <c r="E24" s="147"/>
      <c r="F24" s="150"/>
      <c r="G24" s="75"/>
      <c r="H24" s="10"/>
      <c r="I24" s="49"/>
      <c r="J24" s="10"/>
      <c r="K24" s="76"/>
      <c r="L24" s="160"/>
      <c r="M24" s="157"/>
      <c r="N24" s="10"/>
      <c r="O24" s="50"/>
      <c r="P24" s="76"/>
    </row>
    <row r="25" spans="1:20" ht="22" customHeight="1">
      <c r="B25" s="75"/>
      <c r="C25" s="48"/>
      <c r="D25" s="10"/>
      <c r="E25" s="147"/>
      <c r="F25" s="150"/>
      <c r="G25" s="75"/>
      <c r="H25" s="10"/>
      <c r="I25" s="49"/>
      <c r="J25" s="10"/>
      <c r="K25" s="76"/>
      <c r="L25" s="160"/>
      <c r="M25" s="157"/>
      <c r="N25" s="10"/>
      <c r="O25" s="50"/>
      <c r="P25" s="76"/>
    </row>
    <row r="26" spans="1:20" ht="22" customHeight="1">
      <c r="B26" s="75"/>
      <c r="C26" s="48"/>
      <c r="D26" s="10"/>
      <c r="E26" s="147"/>
      <c r="F26" s="150"/>
      <c r="G26" s="75"/>
      <c r="H26" s="10"/>
      <c r="I26" s="126" t="str">
        <f>CONCATENATE(SchrenzBreite," mm")</f>
        <v>3 mm</v>
      </c>
      <c r="J26" s="10"/>
      <c r="K26" s="76"/>
      <c r="L26" s="160"/>
      <c r="M26" s="157"/>
      <c r="N26" s="10"/>
      <c r="O26" s="50"/>
      <c r="P26" s="76"/>
      <c r="R26" s="80"/>
      <c r="S26" s="13"/>
      <c r="T26" s="13"/>
    </row>
    <row r="27" spans="1:20" ht="31.75" customHeight="1">
      <c r="B27" s="75"/>
      <c r="C27" s="154" t="str">
        <f ca="1">CONCATENATE(txtFormatbreite," + ",txtKante," =  ",Falzbreite+ Pappenbreite+G4," mm")</f>
        <v>Formatbreite + Kante =  2,5 mm</v>
      </c>
      <c r="D27" s="152"/>
      <c r="E27" s="147"/>
      <c r="F27" s="150"/>
      <c r="G27" s="75"/>
      <c r="H27" s="10"/>
      <c r="I27" s="126"/>
      <c r="J27" s="10"/>
      <c r="K27" s="76"/>
      <c r="L27" s="160"/>
      <c r="M27" s="150"/>
      <c r="N27" s="152" t="str">
        <f ca="1">C27</f>
        <v>Formatbreite + Kante =  2,5 mm</v>
      </c>
      <c r="O27" s="153"/>
      <c r="P27" s="76"/>
      <c r="R27" s="81"/>
      <c r="S27" s="82"/>
      <c r="T27" s="13"/>
    </row>
    <row r="28" spans="1:20" ht="22" customHeight="1">
      <c r="A28" s="6" t="str">
        <f ca="1">txtGesamthöhe</f>
        <v>Gesamthöhe</v>
      </c>
      <c r="B28" s="75"/>
      <c r="C28" s="97" t="str">
        <f ca="1">CONCATENATE(txtFormathöhe," + ",txtKante," = ",2*G2+FormatHöhe," mm")</f>
        <v>Formathöhe + Kante = 4 mm</v>
      </c>
      <c r="D28" s="10"/>
      <c r="E28" s="147"/>
      <c r="F28" s="150"/>
      <c r="G28" s="75"/>
      <c r="H28" s="10"/>
      <c r="I28" s="126"/>
      <c r="J28" s="10"/>
      <c r="K28" s="76"/>
      <c r="L28" s="160"/>
      <c r="M28" s="157"/>
      <c r="N28" s="10"/>
      <c r="O28" s="50"/>
      <c r="P28" s="76"/>
      <c r="R28" s="13"/>
      <c r="S28" s="13"/>
      <c r="T28" s="13"/>
    </row>
    <row r="29" spans="1:20" ht="22" customHeight="1">
      <c r="A29" s="6" t="str">
        <f>CONCATENATE(2*(G2+Pappe+13)+FormatHöhe," mm")</f>
        <v>33 mm</v>
      </c>
      <c r="B29" s="75"/>
      <c r="C29" s="48"/>
      <c r="D29" s="10"/>
      <c r="E29" s="147"/>
      <c r="F29" s="150"/>
      <c r="G29" s="75"/>
      <c r="H29" s="10"/>
      <c r="I29" s="126"/>
      <c r="J29" s="10"/>
      <c r="K29" s="76"/>
      <c r="L29" s="160"/>
      <c r="M29" s="157"/>
      <c r="N29" s="10"/>
      <c r="O29" s="50"/>
      <c r="P29" s="76"/>
      <c r="R29" s="13"/>
      <c r="S29" s="13"/>
      <c r="T29" s="13"/>
    </row>
    <row r="30" spans="1:20" ht="22" customHeight="1">
      <c r="B30" s="75"/>
      <c r="C30" s="48"/>
      <c r="D30" s="10"/>
      <c r="E30" s="147"/>
      <c r="F30" s="150"/>
      <c r="G30" s="75"/>
      <c r="H30" s="10"/>
      <c r="I30" s="126"/>
      <c r="J30" s="10"/>
      <c r="K30" s="76"/>
      <c r="L30" s="160"/>
      <c r="M30" s="157"/>
      <c r="N30" s="10"/>
      <c r="O30" s="50"/>
      <c r="P30" s="76"/>
      <c r="R30" s="13"/>
      <c r="S30" s="13"/>
      <c r="T30" s="13"/>
    </row>
    <row r="31" spans="1:20" ht="22" customHeight="1">
      <c r="B31" s="75"/>
      <c r="C31" s="48"/>
      <c r="D31" s="10"/>
      <c r="E31" s="147"/>
      <c r="F31" s="150"/>
      <c r="G31" s="75"/>
      <c r="H31" s="10"/>
      <c r="I31" s="126"/>
      <c r="J31" s="10"/>
      <c r="K31" s="76"/>
      <c r="L31" s="160"/>
      <c r="M31" s="157"/>
      <c r="N31" s="10"/>
      <c r="O31" s="50"/>
      <c r="P31" s="76"/>
      <c r="R31" s="13"/>
      <c r="S31" s="13"/>
      <c r="T31" s="13"/>
    </row>
    <row r="32" spans="1:20" ht="22" customHeight="1">
      <c r="B32" s="75"/>
      <c r="C32" s="48"/>
      <c r="D32" s="10"/>
      <c r="E32" s="147"/>
      <c r="F32" s="150"/>
      <c r="G32" s="75"/>
      <c r="H32" s="10"/>
      <c r="I32" s="126"/>
      <c r="J32" s="10"/>
      <c r="K32" s="76"/>
      <c r="L32" s="160"/>
      <c r="M32" s="157"/>
      <c r="N32" s="10"/>
      <c r="O32" s="50"/>
      <c r="P32" s="76"/>
    </row>
    <row r="33" spans="2:16" ht="22" customHeight="1">
      <c r="B33" s="75"/>
      <c r="C33" s="48"/>
      <c r="D33" s="10"/>
      <c r="E33" s="147"/>
      <c r="F33" s="150"/>
      <c r="G33" s="75"/>
      <c r="H33" s="10"/>
      <c r="I33" s="126"/>
      <c r="J33" s="10"/>
      <c r="K33" s="76"/>
      <c r="L33" s="160"/>
      <c r="M33" s="157"/>
      <c r="N33" s="10"/>
      <c r="O33" s="50"/>
      <c r="P33" s="76"/>
    </row>
    <row r="34" spans="2:16" ht="12" customHeight="1">
      <c r="B34" s="75"/>
      <c r="C34" s="48"/>
      <c r="D34" s="10"/>
      <c r="E34" s="147"/>
      <c r="F34" s="150"/>
      <c r="G34" s="75"/>
      <c r="H34" s="10"/>
      <c r="I34" s="126"/>
      <c r="J34" s="10"/>
      <c r="K34" s="76"/>
      <c r="L34" s="160"/>
      <c r="M34" s="157"/>
      <c r="N34" s="84"/>
      <c r="O34" s="50"/>
      <c r="P34" s="76"/>
    </row>
    <row r="35" spans="2:16" ht="22" customHeight="1">
      <c r="B35" s="75"/>
      <c r="C35" s="48"/>
      <c r="D35" s="10"/>
      <c r="E35" s="147"/>
      <c r="F35" s="150"/>
      <c r="G35" s="75"/>
      <c r="H35" s="10"/>
      <c r="I35" s="126"/>
      <c r="J35" s="10"/>
      <c r="K35" s="76"/>
      <c r="L35" s="160"/>
      <c r="M35" s="157"/>
      <c r="N35" s="10"/>
      <c r="O35" s="50"/>
      <c r="P35" s="76"/>
    </row>
    <row r="36" spans="2:16" ht="22" customHeight="1">
      <c r="B36" s="75"/>
      <c r="C36" s="48"/>
      <c r="D36" s="10"/>
      <c r="E36" s="147"/>
      <c r="F36" s="150"/>
      <c r="G36" s="75"/>
      <c r="H36" s="10"/>
      <c r="I36" s="49"/>
      <c r="J36" s="10"/>
      <c r="K36" s="76"/>
      <c r="L36" s="160"/>
      <c r="M36" s="157"/>
      <c r="N36" s="10"/>
      <c r="O36" s="50"/>
      <c r="P36" s="76"/>
    </row>
    <row r="37" spans="2:16" ht="22" customHeight="1" thickBot="1">
      <c r="B37" s="75"/>
      <c r="C37" s="53"/>
      <c r="D37" s="54"/>
      <c r="E37" s="148"/>
      <c r="F37" s="151"/>
      <c r="G37" s="98"/>
      <c r="H37" s="54"/>
      <c r="I37" s="55"/>
      <c r="J37" s="54"/>
      <c r="K37" s="99"/>
      <c r="L37" s="161"/>
      <c r="M37" s="158"/>
      <c r="N37" s="54"/>
      <c r="O37" s="56"/>
      <c r="P37" s="76"/>
    </row>
    <row r="38" spans="2:16" ht="12.75" customHeight="1">
      <c r="B38" s="75"/>
      <c r="C38" s="10"/>
      <c r="D38" s="43"/>
      <c r="E38" s="43"/>
      <c r="F38" s="43"/>
      <c r="G38" s="155" t="str">
        <f ca="1">CONCATENATE(txtFalz,"=",Falzbreite," mm")</f>
        <v>Falz=7,5 mm</v>
      </c>
      <c r="H38" s="155"/>
      <c r="I38" s="10"/>
      <c r="J38" s="155" t="str">
        <f ca="1">G38</f>
        <v>Falz=7,5 mm</v>
      </c>
      <c r="K38" s="155"/>
      <c r="L38" s="43"/>
      <c r="M38" s="43"/>
      <c r="N38" s="43"/>
      <c r="O38" s="10"/>
      <c r="P38" s="76"/>
    </row>
    <row r="39" spans="2:16">
      <c r="B39" s="87"/>
      <c r="C39" s="88"/>
      <c r="D39" s="88"/>
      <c r="E39" s="10"/>
      <c r="F39" s="10"/>
      <c r="G39" s="156"/>
      <c r="H39" s="156"/>
      <c r="I39" s="88"/>
      <c r="J39" s="156"/>
      <c r="K39" s="156"/>
      <c r="L39" s="10"/>
      <c r="M39" s="10"/>
      <c r="N39" s="88"/>
      <c r="O39" s="88"/>
      <c r="P39" s="89"/>
    </row>
    <row r="40" spans="2:16">
      <c r="G40" s="156"/>
      <c r="H40" s="156"/>
      <c r="J40" s="156"/>
      <c r="K40" s="156"/>
    </row>
    <row r="41" spans="2:16">
      <c r="G41" s="156"/>
      <c r="H41" s="156"/>
      <c r="J41" s="156"/>
      <c r="K41" s="156"/>
    </row>
    <row r="42" spans="2:16">
      <c r="G42" s="156"/>
      <c r="H42" s="156"/>
      <c r="J42" s="156"/>
      <c r="K42" s="156"/>
    </row>
    <row r="43" spans="2:16">
      <c r="G43" s="90"/>
      <c r="H43" s="90"/>
      <c r="J43" s="90"/>
      <c r="K43" s="90"/>
    </row>
    <row r="44" spans="2:16">
      <c r="D44" s="91"/>
      <c r="E44" s="91"/>
      <c r="F44" s="91"/>
      <c r="G44" s="91"/>
      <c r="H44" s="92"/>
      <c r="I44" s="93" t="str">
        <f ca="1">CONCATENATE(txtGesamtbreite," ",2*(G4+Pappenbreite+Falzbreite+Pappe+13)+SchrenzBreite," mm")</f>
        <v>Gesamtbreite 37 mm</v>
      </c>
      <c r="J44" s="92"/>
      <c r="K44" s="92"/>
      <c r="L44" s="91"/>
      <c r="M44" s="91"/>
      <c r="N44" s="91"/>
    </row>
    <row r="45" spans="2:16">
      <c r="G45" s="90"/>
      <c r="H45" s="90"/>
      <c r="J45" s="90"/>
      <c r="K45" s="90"/>
    </row>
  </sheetData>
  <sheetProtection selectLockedCells="1"/>
  <mergeCells count="13">
    <mergeCell ref="N27:O27"/>
    <mergeCell ref="C27:D27"/>
    <mergeCell ref="I26:I35"/>
    <mergeCell ref="G38:H42"/>
    <mergeCell ref="J38:K42"/>
    <mergeCell ref="M21:M37"/>
    <mergeCell ref="L21:L37"/>
    <mergeCell ref="G2:H2"/>
    <mergeCell ref="G4:H4"/>
    <mergeCell ref="E21:E37"/>
    <mergeCell ref="F21:F37"/>
    <mergeCell ref="G6:H6"/>
    <mergeCell ref="G8:H8"/>
  </mergeCells>
  <phoneticPr fontId="0" type="noConversion"/>
  <pageMargins left="0.72" right="0" top="0.17" bottom="0" header="0.17" footer="0"/>
  <pageSetup paperSize="9" scale="95" orientation="landscape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 enableFormatConditionsCalculation="0"/>
  <dimension ref="A1:P41"/>
  <sheetViews>
    <sheetView topLeftCell="A14" zoomScale="95" zoomScaleNormal="95" zoomScalePageLayoutView="95" workbookViewId="0">
      <selection activeCell="Q23" sqref="Q23"/>
    </sheetView>
  </sheetViews>
  <sheetFormatPr baseColWidth="10" defaultColWidth="10.83203125" defaultRowHeight="13" x14ac:dyDescent="0"/>
  <cols>
    <col min="1" max="1" width="16.6640625" style="6" customWidth="1"/>
    <col min="2" max="2" width="4.6640625" style="6" customWidth="1"/>
    <col min="3" max="3" width="18.6640625" style="6" customWidth="1"/>
    <col min="4" max="4" width="21.5" style="6" customWidth="1"/>
    <col min="5" max="5" width="1.33203125" style="6" customWidth="1"/>
    <col min="6" max="6" width="2.6640625" style="6" customWidth="1"/>
    <col min="7" max="7" width="7.6640625" style="6" customWidth="1"/>
    <col min="8" max="8" width="2.6640625" style="6" customWidth="1"/>
    <col min="9" max="9" width="1.33203125" style="6" customWidth="1"/>
    <col min="10" max="10" width="10.6640625" style="6" customWidth="1"/>
    <col min="11" max="11" width="28.6640625" style="6" customWidth="1"/>
    <col min="12" max="12" width="4.6640625" style="6" customWidth="1"/>
    <col min="13" max="13" width="2.6640625" style="6" customWidth="1"/>
    <col min="14" max="14" width="17.33203125" style="6" customWidth="1"/>
    <col min="15" max="16384" width="10.83203125" style="6"/>
  </cols>
  <sheetData>
    <row r="1" spans="1:14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4">
      <c r="A2" s="100"/>
      <c r="B2" s="100"/>
      <c r="C2" s="102" t="str">
        <f ca="1">txtKantenüberstand</f>
        <v>Kantenüberstand</v>
      </c>
      <c r="D2" s="102" t="str">
        <f ca="1">txtoben_unten</f>
        <v>oben/unten</v>
      </c>
      <c r="E2" s="144">
        <v>2</v>
      </c>
      <c r="F2" s="145"/>
      <c r="G2" s="100" t="s">
        <v>4</v>
      </c>
      <c r="H2" s="100"/>
      <c r="I2" s="100"/>
      <c r="J2" s="100"/>
      <c r="K2" s="100"/>
      <c r="L2" s="100"/>
      <c r="M2" s="100"/>
    </row>
    <row r="3" spans="1:14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4">
      <c r="A4" s="100"/>
      <c r="B4" s="100"/>
      <c r="C4" s="100"/>
      <c r="D4" s="102" t="str">
        <f ca="1">txtvorne</f>
        <v>vorne</v>
      </c>
      <c r="E4" s="144">
        <v>2.5</v>
      </c>
      <c r="F4" s="145"/>
      <c r="G4" s="100" t="s">
        <v>4</v>
      </c>
      <c r="H4" s="100"/>
      <c r="I4" s="102">
        <v>2</v>
      </c>
      <c r="J4" s="100"/>
      <c r="K4" s="100"/>
      <c r="L4" s="100"/>
      <c r="M4" s="100"/>
    </row>
    <row r="5" spans="1:14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4" ht="8.25" customHeight="1"/>
    <row r="7" spans="1:14" ht="16">
      <c r="B7" s="94" t="str">
        <f ca="1">CONCATENATE(txtAufriss,": ",txtSmartCover)</f>
        <v>Aufriss: SmartCover</v>
      </c>
      <c r="C7" s="10"/>
    </row>
    <row r="8" spans="1:14" ht="8.25" customHeight="1">
      <c r="B8" s="94"/>
      <c r="C8" s="10"/>
    </row>
    <row r="9" spans="1:14">
      <c r="B9" s="34"/>
      <c r="C9" s="34" t="str">
        <f ca="1">CONCATENATE(txtVerlag,":")</f>
        <v>Verlag:</v>
      </c>
      <c r="D9" s="13" t="str">
        <f>strVerlag</f>
        <v/>
      </c>
      <c r="J9" s="13" t="str">
        <f ca="1">CONCATENATE(txtPappen,":")</f>
        <v>Pappen:</v>
      </c>
      <c r="K9" s="13" t="e">
        <f>strSCPappe</f>
        <v>#REF!</v>
      </c>
    </row>
    <row r="10" spans="1:14">
      <c r="B10" s="13"/>
      <c r="C10" s="13" t="str">
        <f ca="1">CONCATENATE(txtTitel,":")</f>
        <v>Titel:</v>
      </c>
      <c r="D10" s="13" t="str">
        <f>strTitel</f>
        <v/>
      </c>
      <c r="J10" s="13" t="str">
        <f ca="1">CONCATENATE(txtRücken,":")</f>
        <v>Rücken:</v>
      </c>
      <c r="K10" s="13" t="e">
        <f>SCrundgerade</f>
        <v>#REF!</v>
      </c>
    </row>
    <row r="11" spans="1:14">
      <c r="B11" s="13"/>
      <c r="C11" s="13" t="str">
        <f ca="1">CONCATENATE(txtFormat,":")</f>
        <v>Format:</v>
      </c>
      <c r="D11" s="13" t="str">
        <f ca="1">strFormat</f>
        <v xml:space="preserve"> x  mm; Klebebindung</v>
      </c>
    </row>
    <row r="12" spans="1:14">
      <c r="B12" s="34"/>
      <c r="C12" s="13" t="str">
        <f ca="1">CONCATENATE(txtUmfang,":")</f>
        <v>Umfang:</v>
      </c>
      <c r="D12" s="35" t="str">
        <f ca="1">strUmfang</f>
        <v xml:space="preserve"> Seiten</v>
      </c>
    </row>
    <row r="13" spans="1:14">
      <c r="B13" s="13"/>
      <c r="C13" s="13" t="str">
        <f ca="1">CONCATENATE(txtPapier,":")</f>
        <v>Papier:</v>
      </c>
      <c r="D13" s="13" t="str">
        <f>strPapier</f>
        <v xml:space="preserve"> g/m²  fach</v>
      </c>
      <c r="J13" s="13" t="str">
        <f ca="1">CONCATENATE(txtMindestens," ",13.5," mm ",txtEinschlag_ringsum)</f>
        <v>Mindestens 13,5 mm Einschlag_ringsum</v>
      </c>
      <c r="K13" s="13"/>
    </row>
    <row r="14" spans="1:14">
      <c r="B14" s="13"/>
      <c r="L14" s="10"/>
    </row>
    <row r="15" spans="1:14" ht="12.75" customHeight="1"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3"/>
      <c r="M15" s="10"/>
      <c r="N15" s="10"/>
    </row>
    <row r="16" spans="1:14" ht="12.75" customHeight="1" thickBot="1">
      <c r="B16" s="75"/>
      <c r="C16" s="10"/>
      <c r="D16" s="10"/>
      <c r="E16" s="10"/>
      <c r="F16" s="10"/>
      <c r="G16" s="10"/>
      <c r="H16" s="10"/>
      <c r="I16" s="10"/>
      <c r="J16" s="10"/>
      <c r="K16" s="10"/>
      <c r="L16" s="76"/>
      <c r="M16" s="10"/>
      <c r="N16" s="10"/>
    </row>
    <row r="17" spans="1:16" ht="22" customHeight="1">
      <c r="B17" s="75"/>
      <c r="C17" s="42"/>
      <c r="D17" s="43"/>
      <c r="E17" s="77"/>
      <c r="F17" s="43"/>
      <c r="G17" s="44"/>
      <c r="H17" s="43"/>
      <c r="I17" s="78"/>
      <c r="J17" s="43"/>
      <c r="K17" s="79"/>
      <c r="L17" s="76"/>
    </row>
    <row r="18" spans="1:16" ht="22" customHeight="1">
      <c r="B18" s="75"/>
      <c r="C18" s="48"/>
      <c r="D18" s="10"/>
      <c r="E18" s="41"/>
      <c r="F18" s="10"/>
      <c r="G18" s="49"/>
      <c r="H18" s="10"/>
      <c r="I18" s="46"/>
      <c r="J18" s="10"/>
      <c r="K18" s="50"/>
      <c r="L18" s="76"/>
    </row>
    <row r="19" spans="1:16" ht="22" customHeight="1">
      <c r="B19" s="75"/>
      <c r="C19" s="48"/>
      <c r="D19" s="10"/>
      <c r="E19" s="41"/>
      <c r="F19" s="10"/>
      <c r="G19" s="49"/>
      <c r="H19" s="10"/>
      <c r="I19" s="46"/>
      <c r="J19" s="10"/>
      <c r="K19" s="50"/>
      <c r="L19" s="76"/>
    </row>
    <row r="20" spans="1:16" ht="22" customHeight="1">
      <c r="B20" s="75"/>
      <c r="C20" s="48"/>
      <c r="D20" s="10"/>
      <c r="E20" s="41"/>
      <c r="F20" s="10"/>
      <c r="G20" s="49"/>
      <c r="H20" s="10"/>
      <c r="I20" s="46"/>
      <c r="J20" s="10"/>
      <c r="K20" s="50"/>
      <c r="L20" s="76"/>
    </row>
    <row r="21" spans="1:16" ht="22" customHeight="1">
      <c r="B21" s="75"/>
      <c r="C21" s="48"/>
      <c r="D21" s="10"/>
      <c r="E21" s="41"/>
      <c r="F21" s="10"/>
      <c r="G21" s="49"/>
      <c r="H21" s="10"/>
      <c r="I21" s="46"/>
      <c r="J21" s="10"/>
      <c r="K21" s="50"/>
      <c r="L21" s="76"/>
    </row>
    <row r="22" spans="1:16" ht="22" customHeight="1">
      <c r="B22" s="75"/>
      <c r="C22" s="48"/>
      <c r="D22" s="10"/>
      <c r="E22" s="41"/>
      <c r="F22" s="10"/>
      <c r="G22" s="162" t="e">
        <f>CONCATENATE(SCSchrenzbreite," mm")</f>
        <v>#REF!</v>
      </c>
      <c r="H22" s="10"/>
      <c r="I22" s="46"/>
      <c r="J22" s="10"/>
      <c r="K22" s="50"/>
      <c r="L22" s="76"/>
      <c r="N22" s="80"/>
      <c r="O22" s="13"/>
      <c r="P22" s="13"/>
    </row>
    <row r="23" spans="1:16" ht="31.75" customHeight="1">
      <c r="B23" s="75"/>
      <c r="C23" s="140" t="e">
        <f ca="1">CONCATENATE(txtFormatbreite," + ",txtKante," = ",SCFalzbreite+ SCPappenbreite+E4," mm")</f>
        <v>#REF!</v>
      </c>
      <c r="D23" s="141"/>
      <c r="E23" s="41"/>
      <c r="F23" s="10"/>
      <c r="G23" s="162"/>
      <c r="H23" s="10"/>
      <c r="I23" s="10"/>
      <c r="J23" s="138" t="e">
        <f ca="1">C23</f>
        <v>#REF!</v>
      </c>
      <c r="K23" s="139"/>
      <c r="L23" s="76"/>
      <c r="N23" s="81"/>
      <c r="O23" s="82"/>
      <c r="P23" s="13"/>
    </row>
    <row r="24" spans="1:16" ht="22" customHeight="1">
      <c r="A24" s="6" t="str">
        <f ca="1">txtGesamthöhe</f>
        <v>Gesamthöhe</v>
      </c>
      <c r="B24" s="75"/>
      <c r="C24" s="83" t="str">
        <f ca="1">CONCATENATE(txtFormathöhe," + ",txtKante," = ",2*E2+FormatHöhe," mm")</f>
        <v>Formathöhe + Kante = 4 mm</v>
      </c>
      <c r="D24" s="10"/>
      <c r="E24" s="41"/>
      <c r="F24" s="10"/>
      <c r="G24" s="162"/>
      <c r="H24" s="10"/>
      <c r="I24" s="46"/>
      <c r="J24" s="10"/>
      <c r="K24" s="50"/>
      <c r="L24" s="76"/>
      <c r="N24" s="13"/>
      <c r="O24" s="13"/>
      <c r="P24" s="13"/>
    </row>
    <row r="25" spans="1:16" ht="22" customHeight="1">
      <c r="A25" s="6" t="str">
        <f>CONCATENATE(2*(E2+13.5)+FormatHöhe," mm")</f>
        <v>31 mm</v>
      </c>
      <c r="B25" s="75"/>
      <c r="C25" s="48"/>
      <c r="D25" s="10"/>
      <c r="E25" s="41"/>
      <c r="F25" s="10"/>
      <c r="G25" s="162"/>
      <c r="H25" s="10"/>
      <c r="I25" s="46"/>
      <c r="J25" s="10"/>
      <c r="K25" s="50"/>
      <c r="L25" s="76"/>
      <c r="N25" s="13"/>
      <c r="O25" s="13"/>
      <c r="P25" s="13"/>
    </row>
    <row r="26" spans="1:16" ht="22" customHeight="1">
      <c r="B26" s="75"/>
      <c r="C26" s="48"/>
      <c r="D26" s="10"/>
      <c r="E26" s="41"/>
      <c r="F26" s="10"/>
      <c r="G26" s="162"/>
      <c r="H26" s="10"/>
      <c r="I26" s="46"/>
      <c r="J26" s="10"/>
      <c r="K26" s="50"/>
      <c r="L26" s="76"/>
      <c r="N26" s="13"/>
      <c r="O26" s="13"/>
      <c r="P26" s="13"/>
    </row>
    <row r="27" spans="1:16" ht="22" customHeight="1">
      <c r="B27" s="75"/>
      <c r="C27" s="48"/>
      <c r="D27" s="10"/>
      <c r="E27" s="41"/>
      <c r="F27" s="10"/>
      <c r="G27" s="162"/>
      <c r="H27" s="10"/>
      <c r="I27" s="46"/>
      <c r="J27" s="10"/>
      <c r="K27" s="50"/>
      <c r="L27" s="76"/>
      <c r="N27" s="13"/>
      <c r="O27" s="13"/>
      <c r="P27" s="13"/>
    </row>
    <row r="28" spans="1:16" ht="22" customHeight="1">
      <c r="B28" s="75"/>
      <c r="C28" s="48"/>
      <c r="D28" s="10"/>
      <c r="E28" s="41"/>
      <c r="F28" s="10"/>
      <c r="G28" s="162"/>
      <c r="H28" s="10"/>
      <c r="I28" s="46"/>
      <c r="J28" s="10"/>
      <c r="K28" s="50"/>
      <c r="L28" s="76"/>
    </row>
    <row r="29" spans="1:16" ht="22" customHeight="1">
      <c r="B29" s="75"/>
      <c r="C29" s="48"/>
      <c r="D29" s="10"/>
      <c r="E29" s="41"/>
      <c r="F29" s="10"/>
      <c r="G29" s="162"/>
      <c r="H29" s="10"/>
      <c r="I29" s="46"/>
      <c r="J29" s="10"/>
      <c r="K29" s="50"/>
      <c r="L29" s="76"/>
    </row>
    <row r="30" spans="1:16" ht="12" customHeight="1">
      <c r="B30" s="75"/>
      <c r="C30" s="48"/>
      <c r="D30" s="10"/>
      <c r="E30" s="41"/>
      <c r="F30" s="10"/>
      <c r="G30" s="162"/>
      <c r="H30" s="10"/>
      <c r="I30" s="46"/>
      <c r="J30" s="84"/>
      <c r="K30" s="50"/>
      <c r="L30" s="76"/>
    </row>
    <row r="31" spans="1:16" ht="22" customHeight="1">
      <c r="B31" s="75"/>
      <c r="C31" s="48"/>
      <c r="D31" s="10"/>
      <c r="E31" s="41"/>
      <c r="F31" s="10"/>
      <c r="G31" s="162"/>
      <c r="H31" s="10"/>
      <c r="I31" s="46"/>
      <c r="J31" s="10"/>
      <c r="K31" s="50"/>
      <c r="L31" s="76"/>
    </row>
    <row r="32" spans="1:16" ht="22" customHeight="1">
      <c r="B32" s="75"/>
      <c r="C32" s="48"/>
      <c r="D32" s="10"/>
      <c r="E32" s="41"/>
      <c r="F32" s="10"/>
      <c r="G32" s="49"/>
      <c r="H32" s="10"/>
      <c r="I32" s="46"/>
      <c r="J32" s="10"/>
      <c r="K32" s="50"/>
      <c r="L32" s="76"/>
    </row>
    <row r="33" spans="2:12" ht="22" customHeight="1" thickBot="1">
      <c r="B33" s="75"/>
      <c r="C33" s="53"/>
      <c r="D33" s="54"/>
      <c r="E33" s="85"/>
      <c r="F33" s="54"/>
      <c r="G33" s="55"/>
      <c r="H33" s="54"/>
      <c r="I33" s="86"/>
      <c r="J33" s="54"/>
      <c r="K33" s="56"/>
      <c r="L33" s="76"/>
    </row>
    <row r="34" spans="2:12" ht="12.75" customHeight="1">
      <c r="B34" s="75"/>
      <c r="C34" s="10"/>
      <c r="D34" s="43"/>
      <c r="E34" s="163" t="e">
        <f ca="1">CONCATENATE(txtFalz,"=",SCFalzbreite," mm")</f>
        <v>#REF!</v>
      </c>
      <c r="F34" s="163"/>
      <c r="G34" s="10"/>
      <c r="H34" s="163" t="e">
        <f ca="1">E34</f>
        <v>#REF!</v>
      </c>
      <c r="I34" s="163"/>
      <c r="J34" s="43"/>
      <c r="K34" s="10"/>
      <c r="L34" s="76"/>
    </row>
    <row r="35" spans="2:12">
      <c r="B35" s="87"/>
      <c r="C35" s="88"/>
      <c r="D35" s="88"/>
      <c r="E35" s="164"/>
      <c r="F35" s="164"/>
      <c r="G35" s="88"/>
      <c r="H35" s="164"/>
      <c r="I35" s="164"/>
      <c r="J35" s="88"/>
      <c r="K35" s="88"/>
      <c r="L35" s="89"/>
    </row>
    <row r="36" spans="2:12">
      <c r="E36" s="164"/>
      <c r="F36" s="164"/>
      <c r="H36" s="164"/>
      <c r="I36" s="164"/>
    </row>
    <row r="37" spans="2:12">
      <c r="E37" s="164"/>
      <c r="F37" s="164"/>
      <c r="H37" s="164"/>
      <c r="I37" s="164"/>
    </row>
    <row r="38" spans="2:12">
      <c r="E38" s="164"/>
      <c r="F38" s="164"/>
      <c r="H38" s="164"/>
      <c r="I38" s="164"/>
    </row>
    <row r="39" spans="2:12">
      <c r="E39" s="90"/>
      <c r="F39" s="90"/>
      <c r="H39" s="90"/>
      <c r="I39" s="90"/>
    </row>
    <row r="40" spans="2:12">
      <c r="D40" s="91"/>
      <c r="E40" s="91"/>
      <c r="F40" s="92"/>
      <c r="G40" s="93" t="e">
        <f ca="1">CONCATENATE(txtGesamtbreite," ",2*(E4+SCPappenbreite+SCFalzbreite+13.5)+SCSchrenzbreite," mm")</f>
        <v>#REF!</v>
      </c>
      <c r="H40" s="92"/>
      <c r="I40" s="92"/>
      <c r="J40" s="91"/>
    </row>
    <row r="41" spans="2:12">
      <c r="E41" s="90"/>
      <c r="F41" s="90"/>
      <c r="H41" s="90"/>
      <c r="I41" s="90"/>
    </row>
  </sheetData>
  <sheetProtection selectLockedCells="1"/>
  <mergeCells count="7">
    <mergeCell ref="E34:F38"/>
    <mergeCell ref="H34:I38"/>
    <mergeCell ref="E2:F2"/>
    <mergeCell ref="E4:F4"/>
    <mergeCell ref="J23:K23"/>
    <mergeCell ref="C23:D23"/>
    <mergeCell ref="G22:G31"/>
  </mergeCells>
  <phoneticPr fontId="0" type="noConversion"/>
  <pageMargins left="0.72" right="0" top="0.17" bottom="0" header="0.17" footer="0"/>
  <pageSetup paperSize="9" scale="95" orientation="landscape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workbookViewId="0">
      <selection activeCell="E2" sqref="E2:G2"/>
    </sheetView>
  </sheetViews>
  <sheetFormatPr baseColWidth="10" defaultColWidth="10.83203125" defaultRowHeight="13" x14ac:dyDescent="0"/>
  <cols>
    <col min="1" max="2" width="7.6640625" style="6" customWidth="1"/>
    <col min="3" max="3" width="2.6640625" style="6" customWidth="1"/>
    <col min="4" max="5" width="7.6640625" style="6" customWidth="1"/>
    <col min="6" max="6" width="2.6640625" style="6" customWidth="1"/>
    <col min="7" max="8" width="7.6640625" style="6" customWidth="1"/>
    <col min="9" max="9" width="2.6640625" style="6" customWidth="1"/>
    <col min="10" max="11" width="7.6640625" style="6" customWidth="1"/>
    <col min="12" max="12" width="2.6640625" style="6" customWidth="1"/>
    <col min="13" max="14" width="7.6640625" style="6" customWidth="1"/>
    <col min="15" max="15" width="7.6640625" style="6" hidden="1" customWidth="1"/>
    <col min="16" max="26" width="11.5" style="6" hidden="1" customWidth="1"/>
    <col min="27" max="16384" width="10.83203125" style="6"/>
  </cols>
  <sheetData>
    <row r="1" spans="1:20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20" ht="19.5" customHeight="1">
      <c r="A2" s="109" t="str">
        <f ca="1">CONCATENATE(txtSchrittweite_in_Seiten,":")</f>
        <v>Schrittweite_in_Seiten:</v>
      </c>
      <c r="B2" s="109"/>
      <c r="C2" s="100"/>
      <c r="D2" s="100"/>
      <c r="E2" s="165" t="s">
        <v>69</v>
      </c>
      <c r="F2" s="145"/>
      <c r="G2" s="145"/>
      <c r="H2" s="100"/>
      <c r="I2" s="100"/>
      <c r="J2" s="100"/>
      <c r="K2" s="100"/>
      <c r="L2" s="100"/>
      <c r="M2" s="100"/>
      <c r="N2" s="100"/>
      <c r="P2" s="6">
        <f>IF(E2="16 (Standard)",16,IF(E2="12 (Quantum)",12,8))</f>
        <v>16</v>
      </c>
    </row>
    <row r="3" spans="1:20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20" s="8" customFormat="1" ht="24" customHeight="1">
      <c r="A4" s="116" t="str">
        <f ca="1">CONCATENATE(txtText,":")</f>
        <v>Text:</v>
      </c>
      <c r="C4" s="27" t="str">
        <f>strPapier</f>
        <v xml:space="preserve"> g/m²  fach</v>
      </c>
      <c r="D4" s="116"/>
      <c r="E4" s="116"/>
      <c r="F4" s="116"/>
      <c r="G4" s="116"/>
      <c r="H4" s="116"/>
      <c r="I4" s="116"/>
      <c r="J4" s="116"/>
      <c r="K4" s="116"/>
      <c r="P4" s="16" t="s">
        <v>70</v>
      </c>
      <c r="Q4" s="16" t="e">
        <f>Eingabe!P12/Eingabe!B12</f>
        <v>#DIV/0!</v>
      </c>
      <c r="R4" s="16"/>
      <c r="S4" s="16" t="s">
        <v>71</v>
      </c>
      <c r="T4" s="16" t="e">
        <f>Q4*2</f>
        <v>#DIV/0!</v>
      </c>
    </row>
    <row r="5" spans="1:20" s="8" customFormat="1" ht="24" customHeight="1">
      <c r="A5" s="116" t="str">
        <f ca="1">CONCATENATE(txtKarton,":")</f>
        <v>Karton :</v>
      </c>
      <c r="C5" s="24" t="str">
        <f>strKarton</f>
        <v xml:space="preserve">230 g/m² </v>
      </c>
      <c r="D5" s="116"/>
      <c r="E5" s="116"/>
      <c r="F5" s="116"/>
      <c r="P5" s="17"/>
      <c r="Q5" s="17"/>
      <c r="R5" s="17"/>
      <c r="S5" s="17"/>
      <c r="T5" s="17"/>
    </row>
    <row r="6" spans="1:20" s="8" customFormat="1" ht="24" customHeight="1">
      <c r="A6" s="7"/>
      <c r="B6" s="9"/>
      <c r="P6" s="15" t="s">
        <v>72</v>
      </c>
      <c r="Q6" s="14">
        <v>0.5</v>
      </c>
      <c r="R6" s="17"/>
      <c r="S6" s="17"/>
      <c r="T6" s="17"/>
    </row>
    <row r="7" spans="1:20" ht="25.5" customHeight="1">
      <c r="A7" s="116"/>
    </row>
    <row r="8" spans="1:20" ht="14" customHeight="1">
      <c r="A8" s="19" t="str">
        <f ca="1">txtSeiten</f>
        <v>Seiten</v>
      </c>
      <c r="B8" s="20" t="str">
        <f ca="1">txtRücken</f>
        <v>Rücken</v>
      </c>
      <c r="C8" s="21"/>
      <c r="D8" s="19" t="str">
        <f ca="1">A8</f>
        <v>Seiten</v>
      </c>
      <c r="E8" s="20" t="str">
        <f ca="1">B8</f>
        <v>Rücken</v>
      </c>
      <c r="F8" s="21"/>
      <c r="G8" s="19" t="str">
        <f ca="1">A8</f>
        <v>Seiten</v>
      </c>
      <c r="H8" s="20" t="str">
        <f ca="1">B8</f>
        <v>Rücken</v>
      </c>
      <c r="I8" s="21"/>
      <c r="J8" s="19" t="str">
        <f ca="1">A8</f>
        <v>Seiten</v>
      </c>
      <c r="K8" s="20" t="str">
        <f ca="1">B8</f>
        <v>Rücken</v>
      </c>
      <c r="L8" s="21"/>
      <c r="M8" s="19" t="str">
        <f ca="1">A8</f>
        <v>Seiten</v>
      </c>
      <c r="N8" s="20" t="str">
        <f ca="1">B8</f>
        <v>Rücken</v>
      </c>
      <c r="O8" s="10"/>
    </row>
    <row r="9" spans="1:20" ht="14" customHeight="1">
      <c r="A9" s="11">
        <f>P2</f>
        <v>16</v>
      </c>
      <c r="B9" s="12" t="e">
        <f>ROUND((A9*$Q$4+Eingabe!StaerkeKarton)/$Q$6,0)*$Q$6</f>
        <v>#DIV/0!</v>
      </c>
      <c r="D9" s="11">
        <f>A53+$P$2</f>
        <v>736</v>
      </c>
      <c r="E9" s="12" t="e">
        <f>ROUND((D9*$Q$4+Eingabe!StaerkeKarton)/$Q$6,0)*$Q$6</f>
        <v>#DIV/0!</v>
      </c>
      <c r="G9" s="11">
        <f>D53+$P$2</f>
        <v>1456</v>
      </c>
      <c r="H9" s="12" t="e">
        <f>ROUND((G9*$Q$4+Eingabe!StaerkeKarton)/$Q$6,0)*$Q$6</f>
        <v>#DIV/0!</v>
      </c>
      <c r="J9" s="11">
        <f>G53+$P$2</f>
        <v>2176</v>
      </c>
      <c r="K9" s="12" t="e">
        <f>ROUND((J9*$Q$4+Eingabe!StaerkeKarton)/$Q$6,0)*$Q$6</f>
        <v>#DIV/0!</v>
      </c>
      <c r="M9" s="11">
        <f>J53+$P$2</f>
        <v>2896</v>
      </c>
      <c r="N9" s="12" t="e">
        <f>ROUND((M9*$Q$4+Eingabe!StaerkeKarton)/$Q$6,0)*$Q$6</f>
        <v>#DIV/0!</v>
      </c>
    </row>
    <row r="10" spans="1:20" ht="14" customHeight="1">
      <c r="A10" s="11">
        <f>A9+$P$2</f>
        <v>32</v>
      </c>
      <c r="B10" s="12" t="e">
        <f>ROUND((A10*$Q$4+Eingabe!StaerkeKarton)/$Q$6,0)*$Q$6</f>
        <v>#DIV/0!</v>
      </c>
      <c r="D10" s="11">
        <f>D9+$P$2</f>
        <v>752</v>
      </c>
      <c r="E10" s="12" t="e">
        <f>ROUND((D10*$Q$4+Eingabe!StaerkeKarton)/$Q$6,0)*$Q$6</f>
        <v>#DIV/0!</v>
      </c>
      <c r="G10" s="11">
        <f>G9+$P$2</f>
        <v>1472</v>
      </c>
      <c r="H10" s="12" t="e">
        <f>ROUND((G10*$Q$4+Eingabe!StaerkeKarton)/$Q$6,0)*$Q$6</f>
        <v>#DIV/0!</v>
      </c>
      <c r="J10" s="11">
        <f>J9+$P$2</f>
        <v>2192</v>
      </c>
      <c r="K10" s="12" t="e">
        <f>ROUND((J10*$Q$4+Eingabe!StaerkeKarton)/$Q$6,0)*$Q$6</f>
        <v>#DIV/0!</v>
      </c>
      <c r="M10" s="11">
        <f>M9+$P$2</f>
        <v>2912</v>
      </c>
      <c r="N10" s="12" t="e">
        <f>ROUND((M10*$Q$4+Eingabe!StaerkeKarton)/$Q$6,0)*$Q$6</f>
        <v>#DIV/0!</v>
      </c>
    </row>
    <row r="11" spans="1:20" ht="14" customHeight="1">
      <c r="A11" s="11">
        <f t="shared" ref="A11:A53" si="0">A10+$P$2</f>
        <v>48</v>
      </c>
      <c r="B11" s="12" t="e">
        <f>ROUND((A11*$Q$4+Eingabe!StaerkeKarton)/$Q$6,0)*$Q$6</f>
        <v>#DIV/0!</v>
      </c>
      <c r="D11" s="11">
        <f t="shared" ref="D11:D53" si="1">D10+$P$2</f>
        <v>768</v>
      </c>
      <c r="E11" s="12" t="e">
        <f>ROUND((D11*$Q$4+Eingabe!StaerkeKarton)/$Q$6,0)*$Q$6</f>
        <v>#DIV/0!</v>
      </c>
      <c r="G11" s="11">
        <f t="shared" ref="G11:G53" si="2">G10+$P$2</f>
        <v>1488</v>
      </c>
      <c r="H11" s="12" t="e">
        <f>ROUND((G11*$Q$4+Eingabe!StaerkeKarton)/$Q$6,0)*$Q$6</f>
        <v>#DIV/0!</v>
      </c>
      <c r="J11" s="11">
        <f t="shared" ref="J11:J53" si="3">J10+$P$2</f>
        <v>2208</v>
      </c>
      <c r="K11" s="12" t="e">
        <f>ROUND((J11*$Q$4+Eingabe!StaerkeKarton)/$Q$6,0)*$Q$6</f>
        <v>#DIV/0!</v>
      </c>
      <c r="M11" s="11">
        <f t="shared" ref="M11:M53" si="4">M10+$P$2</f>
        <v>2928</v>
      </c>
      <c r="N11" s="12" t="e">
        <f>ROUND((M11*$Q$4+Eingabe!StaerkeKarton)/$Q$6,0)*$Q$6</f>
        <v>#DIV/0!</v>
      </c>
    </row>
    <row r="12" spans="1:20" ht="14" customHeight="1">
      <c r="A12" s="11">
        <f t="shared" si="0"/>
        <v>64</v>
      </c>
      <c r="B12" s="12" t="e">
        <f>ROUND((A12*$Q$4+Eingabe!StaerkeKarton)/$Q$6,0)*$Q$6</f>
        <v>#DIV/0!</v>
      </c>
      <c r="D12" s="11">
        <f t="shared" si="1"/>
        <v>784</v>
      </c>
      <c r="E12" s="12" t="e">
        <f>ROUND((D12*$Q$4+Eingabe!StaerkeKarton)/$Q$6,0)*$Q$6</f>
        <v>#DIV/0!</v>
      </c>
      <c r="G12" s="11">
        <f t="shared" si="2"/>
        <v>1504</v>
      </c>
      <c r="H12" s="12" t="e">
        <f>ROUND((G12*$Q$4+Eingabe!StaerkeKarton)/$Q$6,0)*$Q$6</f>
        <v>#DIV/0!</v>
      </c>
      <c r="J12" s="11">
        <f t="shared" si="3"/>
        <v>2224</v>
      </c>
      <c r="K12" s="12" t="e">
        <f>ROUND((J12*$Q$4+Eingabe!StaerkeKarton)/$Q$6,0)*$Q$6</f>
        <v>#DIV/0!</v>
      </c>
      <c r="M12" s="11">
        <f t="shared" si="4"/>
        <v>2944</v>
      </c>
      <c r="N12" s="12" t="e">
        <f>ROUND((M12*$Q$4+Eingabe!StaerkeKarton)/$Q$6,0)*$Q$6</f>
        <v>#DIV/0!</v>
      </c>
    </row>
    <row r="13" spans="1:20" ht="14" customHeight="1">
      <c r="A13" s="11">
        <f t="shared" si="0"/>
        <v>80</v>
      </c>
      <c r="B13" s="12" t="e">
        <f>ROUND((A13*$Q$4+Eingabe!StaerkeKarton)/$Q$6,0)*$Q$6</f>
        <v>#DIV/0!</v>
      </c>
      <c r="D13" s="11">
        <f t="shared" si="1"/>
        <v>800</v>
      </c>
      <c r="E13" s="12" t="e">
        <f>ROUND((D13*$Q$4+Eingabe!StaerkeKarton)/$Q$6,0)*$Q$6</f>
        <v>#DIV/0!</v>
      </c>
      <c r="G13" s="11">
        <f t="shared" si="2"/>
        <v>1520</v>
      </c>
      <c r="H13" s="12" t="e">
        <f>ROUND((G13*$Q$4+Eingabe!StaerkeKarton)/$Q$6,0)*$Q$6</f>
        <v>#DIV/0!</v>
      </c>
      <c r="J13" s="11">
        <f t="shared" si="3"/>
        <v>2240</v>
      </c>
      <c r="K13" s="12" t="e">
        <f>ROUND((J13*$Q$4+Eingabe!StaerkeKarton)/$Q$6,0)*$Q$6</f>
        <v>#DIV/0!</v>
      </c>
      <c r="M13" s="11">
        <f t="shared" si="4"/>
        <v>2960</v>
      </c>
      <c r="N13" s="12" t="e">
        <f>ROUND((M13*$Q$4+Eingabe!StaerkeKarton)/$Q$6,0)*$Q$6</f>
        <v>#DIV/0!</v>
      </c>
    </row>
    <row r="14" spans="1:20" ht="14" customHeight="1">
      <c r="A14" s="11">
        <f t="shared" si="0"/>
        <v>96</v>
      </c>
      <c r="B14" s="12" t="e">
        <f>ROUND((A14*$Q$4+Eingabe!StaerkeKarton)/$Q$6,0)*$Q$6</f>
        <v>#DIV/0!</v>
      </c>
      <c r="D14" s="11">
        <f t="shared" si="1"/>
        <v>816</v>
      </c>
      <c r="E14" s="12" t="e">
        <f>ROUND((D14*$Q$4+Eingabe!StaerkeKarton)/$Q$6,0)*$Q$6</f>
        <v>#DIV/0!</v>
      </c>
      <c r="G14" s="11">
        <f t="shared" si="2"/>
        <v>1536</v>
      </c>
      <c r="H14" s="12" t="e">
        <f>ROUND((G14*$Q$4+Eingabe!StaerkeKarton)/$Q$6,0)*$Q$6</f>
        <v>#DIV/0!</v>
      </c>
      <c r="J14" s="11">
        <f t="shared" si="3"/>
        <v>2256</v>
      </c>
      <c r="K14" s="12" t="e">
        <f>ROUND((J14*$Q$4+Eingabe!StaerkeKarton)/$Q$6,0)*$Q$6</f>
        <v>#DIV/0!</v>
      </c>
      <c r="M14" s="11">
        <f t="shared" si="4"/>
        <v>2976</v>
      </c>
      <c r="N14" s="12" t="e">
        <f>ROUND((M14*$Q$4+Eingabe!StaerkeKarton)/$Q$6,0)*$Q$6</f>
        <v>#DIV/0!</v>
      </c>
    </row>
    <row r="15" spans="1:20" ht="14" customHeight="1">
      <c r="A15" s="11">
        <f t="shared" si="0"/>
        <v>112</v>
      </c>
      <c r="B15" s="12" t="e">
        <f>ROUND((A15*$Q$4+Eingabe!StaerkeKarton)/$Q$6,0)*$Q$6</f>
        <v>#DIV/0!</v>
      </c>
      <c r="D15" s="11">
        <f t="shared" si="1"/>
        <v>832</v>
      </c>
      <c r="E15" s="12" t="e">
        <f>ROUND((D15*$Q$4+Eingabe!StaerkeKarton)/$Q$6,0)*$Q$6</f>
        <v>#DIV/0!</v>
      </c>
      <c r="G15" s="11">
        <f t="shared" si="2"/>
        <v>1552</v>
      </c>
      <c r="H15" s="12" t="e">
        <f>ROUND((G15*$Q$4+Eingabe!StaerkeKarton)/$Q$6,0)*$Q$6</f>
        <v>#DIV/0!</v>
      </c>
      <c r="J15" s="11">
        <f t="shared" si="3"/>
        <v>2272</v>
      </c>
      <c r="K15" s="12" t="e">
        <f>ROUND((J15*$Q$4+Eingabe!StaerkeKarton)/$Q$6,0)*$Q$6</f>
        <v>#DIV/0!</v>
      </c>
      <c r="M15" s="11">
        <f t="shared" si="4"/>
        <v>2992</v>
      </c>
      <c r="N15" s="12" t="e">
        <f>ROUND((M15*$Q$4+Eingabe!StaerkeKarton)/$Q$6,0)*$Q$6</f>
        <v>#DIV/0!</v>
      </c>
    </row>
    <row r="16" spans="1:20" ht="14" customHeight="1">
      <c r="A16" s="11">
        <f t="shared" si="0"/>
        <v>128</v>
      </c>
      <c r="B16" s="12" t="e">
        <f>ROUND((A16*$Q$4+Eingabe!StaerkeKarton)/$Q$6,0)*$Q$6</f>
        <v>#DIV/0!</v>
      </c>
      <c r="D16" s="11">
        <f t="shared" si="1"/>
        <v>848</v>
      </c>
      <c r="E16" s="12" t="e">
        <f>ROUND((D16*$Q$4+Eingabe!StaerkeKarton)/$Q$6,0)*$Q$6</f>
        <v>#DIV/0!</v>
      </c>
      <c r="G16" s="11">
        <f t="shared" si="2"/>
        <v>1568</v>
      </c>
      <c r="H16" s="12" t="e">
        <f>ROUND((G16*$Q$4+Eingabe!StaerkeKarton)/$Q$6,0)*$Q$6</f>
        <v>#DIV/0!</v>
      </c>
      <c r="J16" s="11">
        <f t="shared" si="3"/>
        <v>2288</v>
      </c>
      <c r="K16" s="12" t="e">
        <f>ROUND((J16*$Q$4+Eingabe!StaerkeKarton)/$Q$6,0)*$Q$6</f>
        <v>#DIV/0!</v>
      </c>
      <c r="M16" s="11">
        <f t="shared" si="4"/>
        <v>3008</v>
      </c>
      <c r="N16" s="12" t="e">
        <f>ROUND((M16*$Q$4+Eingabe!StaerkeKarton)/$Q$6,0)*$Q$6</f>
        <v>#DIV/0!</v>
      </c>
    </row>
    <row r="17" spans="1:14" ht="14" customHeight="1">
      <c r="A17" s="11">
        <f t="shared" si="0"/>
        <v>144</v>
      </c>
      <c r="B17" s="12" t="e">
        <f>ROUND((A17*$Q$4+Eingabe!StaerkeKarton)/$Q$6,0)*$Q$6</f>
        <v>#DIV/0!</v>
      </c>
      <c r="D17" s="11">
        <f t="shared" si="1"/>
        <v>864</v>
      </c>
      <c r="E17" s="12" t="e">
        <f>ROUND((D17*$Q$4+Eingabe!StaerkeKarton)/$Q$6,0)*$Q$6</f>
        <v>#DIV/0!</v>
      </c>
      <c r="G17" s="11">
        <f t="shared" si="2"/>
        <v>1584</v>
      </c>
      <c r="H17" s="12" t="e">
        <f>ROUND((G17*$Q$4+Eingabe!StaerkeKarton)/$Q$6,0)*$Q$6</f>
        <v>#DIV/0!</v>
      </c>
      <c r="J17" s="11">
        <f t="shared" si="3"/>
        <v>2304</v>
      </c>
      <c r="K17" s="12" t="e">
        <f>ROUND((J17*$Q$4+Eingabe!StaerkeKarton)/$Q$6,0)*$Q$6</f>
        <v>#DIV/0!</v>
      </c>
      <c r="M17" s="11">
        <f t="shared" si="4"/>
        <v>3024</v>
      </c>
      <c r="N17" s="12" t="e">
        <f>ROUND((M17*$Q$4+Eingabe!StaerkeKarton)/$Q$6,0)*$Q$6</f>
        <v>#DIV/0!</v>
      </c>
    </row>
    <row r="18" spans="1:14" ht="14" customHeight="1">
      <c r="A18" s="11">
        <f t="shared" si="0"/>
        <v>160</v>
      </c>
      <c r="B18" s="12" t="e">
        <f>ROUND((A18*$Q$4+Eingabe!StaerkeKarton)/$Q$6,0)*$Q$6</f>
        <v>#DIV/0!</v>
      </c>
      <c r="D18" s="11">
        <f t="shared" si="1"/>
        <v>880</v>
      </c>
      <c r="E18" s="12" t="e">
        <f>ROUND((D18*$Q$4+Eingabe!StaerkeKarton)/$Q$6,0)*$Q$6</f>
        <v>#DIV/0!</v>
      </c>
      <c r="G18" s="11">
        <f t="shared" si="2"/>
        <v>1600</v>
      </c>
      <c r="H18" s="12" t="e">
        <f>ROUND((G18*$Q$4+Eingabe!StaerkeKarton)/$Q$6,0)*$Q$6</f>
        <v>#DIV/0!</v>
      </c>
      <c r="J18" s="11">
        <f t="shared" si="3"/>
        <v>2320</v>
      </c>
      <c r="K18" s="12" t="e">
        <f>ROUND((J18*$Q$4+Eingabe!StaerkeKarton)/$Q$6,0)*$Q$6</f>
        <v>#DIV/0!</v>
      </c>
      <c r="M18" s="11">
        <f t="shared" si="4"/>
        <v>3040</v>
      </c>
      <c r="N18" s="12" t="e">
        <f>ROUND((M18*$Q$4+Eingabe!StaerkeKarton)/$Q$6,0)*$Q$6</f>
        <v>#DIV/0!</v>
      </c>
    </row>
    <row r="19" spans="1:14" ht="14" customHeight="1">
      <c r="A19" s="11">
        <f t="shared" si="0"/>
        <v>176</v>
      </c>
      <c r="B19" s="12" t="e">
        <f>ROUND((A19*$Q$4+Eingabe!StaerkeKarton)/$Q$6,0)*$Q$6</f>
        <v>#DIV/0!</v>
      </c>
      <c r="D19" s="11">
        <f t="shared" si="1"/>
        <v>896</v>
      </c>
      <c r="E19" s="12" t="e">
        <f>ROUND((D19*$Q$4+Eingabe!StaerkeKarton)/$Q$6,0)*$Q$6</f>
        <v>#DIV/0!</v>
      </c>
      <c r="G19" s="11">
        <f t="shared" si="2"/>
        <v>1616</v>
      </c>
      <c r="H19" s="12" t="e">
        <f>ROUND((G19*$Q$4+Eingabe!StaerkeKarton)/$Q$6,0)*$Q$6</f>
        <v>#DIV/0!</v>
      </c>
      <c r="J19" s="11">
        <f t="shared" si="3"/>
        <v>2336</v>
      </c>
      <c r="K19" s="12" t="e">
        <f>ROUND((J19*$Q$4+Eingabe!StaerkeKarton)/$Q$6,0)*$Q$6</f>
        <v>#DIV/0!</v>
      </c>
      <c r="M19" s="11">
        <f t="shared" si="4"/>
        <v>3056</v>
      </c>
      <c r="N19" s="12" t="e">
        <f>ROUND((M19*$Q$4+Eingabe!StaerkeKarton)/$Q$6,0)*$Q$6</f>
        <v>#DIV/0!</v>
      </c>
    </row>
    <row r="20" spans="1:14" ht="14" customHeight="1">
      <c r="A20" s="11">
        <f t="shared" si="0"/>
        <v>192</v>
      </c>
      <c r="B20" s="12" t="e">
        <f>ROUND((A20*$Q$4+Eingabe!StaerkeKarton)/$Q$6,0)*$Q$6</f>
        <v>#DIV/0!</v>
      </c>
      <c r="D20" s="11">
        <f t="shared" si="1"/>
        <v>912</v>
      </c>
      <c r="E20" s="12" t="e">
        <f>ROUND((D20*$Q$4+Eingabe!StaerkeKarton)/$Q$6,0)*$Q$6</f>
        <v>#DIV/0!</v>
      </c>
      <c r="G20" s="11">
        <f t="shared" si="2"/>
        <v>1632</v>
      </c>
      <c r="H20" s="12" t="e">
        <f>ROUND((G20*$Q$4+Eingabe!StaerkeKarton)/$Q$6,0)*$Q$6</f>
        <v>#DIV/0!</v>
      </c>
      <c r="J20" s="11">
        <f t="shared" si="3"/>
        <v>2352</v>
      </c>
      <c r="K20" s="12" t="e">
        <f>ROUND((J20*$Q$4+Eingabe!StaerkeKarton)/$Q$6,0)*$Q$6</f>
        <v>#DIV/0!</v>
      </c>
      <c r="M20" s="11">
        <f t="shared" si="4"/>
        <v>3072</v>
      </c>
      <c r="N20" s="12" t="e">
        <f>ROUND((M20*$Q$4+Eingabe!StaerkeKarton)/$Q$6,0)*$Q$6</f>
        <v>#DIV/0!</v>
      </c>
    </row>
    <row r="21" spans="1:14" ht="14" customHeight="1">
      <c r="A21" s="11">
        <f t="shared" si="0"/>
        <v>208</v>
      </c>
      <c r="B21" s="12" t="e">
        <f>ROUND((A21*$Q$4+Eingabe!StaerkeKarton)/$Q$6,0)*$Q$6</f>
        <v>#DIV/0!</v>
      </c>
      <c r="D21" s="11">
        <f t="shared" si="1"/>
        <v>928</v>
      </c>
      <c r="E21" s="12" t="e">
        <f>ROUND((D21*$Q$4+Eingabe!StaerkeKarton)/$Q$6,0)*$Q$6</f>
        <v>#DIV/0!</v>
      </c>
      <c r="G21" s="11">
        <f t="shared" si="2"/>
        <v>1648</v>
      </c>
      <c r="H21" s="12" t="e">
        <f>ROUND((G21*$Q$4+Eingabe!StaerkeKarton)/$Q$6,0)*$Q$6</f>
        <v>#DIV/0!</v>
      </c>
      <c r="J21" s="11">
        <f t="shared" si="3"/>
        <v>2368</v>
      </c>
      <c r="K21" s="12" t="e">
        <f>ROUND((J21*$Q$4+Eingabe!StaerkeKarton)/$Q$6,0)*$Q$6</f>
        <v>#DIV/0!</v>
      </c>
      <c r="M21" s="11">
        <f t="shared" si="4"/>
        <v>3088</v>
      </c>
      <c r="N21" s="12" t="e">
        <f>ROUND((M21*$Q$4+Eingabe!StaerkeKarton)/$Q$6,0)*$Q$6</f>
        <v>#DIV/0!</v>
      </c>
    </row>
    <row r="22" spans="1:14" ht="14" customHeight="1">
      <c r="A22" s="11">
        <f t="shared" si="0"/>
        <v>224</v>
      </c>
      <c r="B22" s="12" t="e">
        <f>ROUND((A22*$Q$4+Eingabe!StaerkeKarton)/$Q$6,0)*$Q$6</f>
        <v>#DIV/0!</v>
      </c>
      <c r="D22" s="11">
        <f t="shared" si="1"/>
        <v>944</v>
      </c>
      <c r="E22" s="12" t="e">
        <f>ROUND((D22*$Q$4+Eingabe!StaerkeKarton)/$Q$6,0)*$Q$6</f>
        <v>#DIV/0!</v>
      </c>
      <c r="G22" s="11">
        <f t="shared" si="2"/>
        <v>1664</v>
      </c>
      <c r="H22" s="12" t="e">
        <f>ROUND((G22*$Q$4+Eingabe!StaerkeKarton)/$Q$6,0)*$Q$6</f>
        <v>#DIV/0!</v>
      </c>
      <c r="J22" s="11">
        <f t="shared" si="3"/>
        <v>2384</v>
      </c>
      <c r="K22" s="12" t="e">
        <f>ROUND((J22*$Q$4+Eingabe!StaerkeKarton)/$Q$6,0)*$Q$6</f>
        <v>#DIV/0!</v>
      </c>
      <c r="M22" s="11">
        <f t="shared" si="4"/>
        <v>3104</v>
      </c>
      <c r="N22" s="12" t="e">
        <f>ROUND((M22*$Q$4+Eingabe!StaerkeKarton)/$Q$6,0)*$Q$6</f>
        <v>#DIV/0!</v>
      </c>
    </row>
    <row r="23" spans="1:14" ht="14" customHeight="1">
      <c r="A23" s="11">
        <f t="shared" si="0"/>
        <v>240</v>
      </c>
      <c r="B23" s="12" t="e">
        <f>ROUND((A23*$Q$4+Eingabe!StaerkeKarton)/$Q$6,0)*$Q$6</f>
        <v>#DIV/0!</v>
      </c>
      <c r="D23" s="11">
        <f t="shared" si="1"/>
        <v>960</v>
      </c>
      <c r="E23" s="12" t="e">
        <f>ROUND((D23*$Q$4+Eingabe!StaerkeKarton)/$Q$6,0)*$Q$6</f>
        <v>#DIV/0!</v>
      </c>
      <c r="G23" s="11">
        <f t="shared" si="2"/>
        <v>1680</v>
      </c>
      <c r="H23" s="12" t="e">
        <f>ROUND((G23*$Q$4+Eingabe!StaerkeKarton)/$Q$6,0)*$Q$6</f>
        <v>#DIV/0!</v>
      </c>
      <c r="J23" s="11">
        <f t="shared" si="3"/>
        <v>2400</v>
      </c>
      <c r="K23" s="12" t="e">
        <f>ROUND((J23*$Q$4+Eingabe!StaerkeKarton)/$Q$6,0)*$Q$6</f>
        <v>#DIV/0!</v>
      </c>
      <c r="M23" s="11">
        <f t="shared" si="4"/>
        <v>3120</v>
      </c>
      <c r="N23" s="12" t="e">
        <f>ROUND((M23*$Q$4+Eingabe!StaerkeKarton)/$Q$6,0)*$Q$6</f>
        <v>#DIV/0!</v>
      </c>
    </row>
    <row r="24" spans="1:14" ht="14" customHeight="1">
      <c r="A24" s="11">
        <f t="shared" si="0"/>
        <v>256</v>
      </c>
      <c r="B24" s="12" t="e">
        <f>ROUND((A24*$Q$4+Eingabe!StaerkeKarton)/$Q$6,0)*$Q$6</f>
        <v>#DIV/0!</v>
      </c>
      <c r="D24" s="11">
        <f t="shared" si="1"/>
        <v>976</v>
      </c>
      <c r="E24" s="12" t="e">
        <f>ROUND((D24*$Q$4+Eingabe!StaerkeKarton)/$Q$6,0)*$Q$6</f>
        <v>#DIV/0!</v>
      </c>
      <c r="G24" s="11">
        <f t="shared" si="2"/>
        <v>1696</v>
      </c>
      <c r="H24" s="12" t="e">
        <f>ROUND((G24*$Q$4+Eingabe!StaerkeKarton)/$Q$6,0)*$Q$6</f>
        <v>#DIV/0!</v>
      </c>
      <c r="J24" s="11">
        <f t="shared" si="3"/>
        <v>2416</v>
      </c>
      <c r="K24" s="12" t="e">
        <f>ROUND((J24*$Q$4+Eingabe!StaerkeKarton)/$Q$6,0)*$Q$6</f>
        <v>#DIV/0!</v>
      </c>
      <c r="M24" s="11">
        <f t="shared" si="4"/>
        <v>3136</v>
      </c>
      <c r="N24" s="12" t="e">
        <f>ROUND((M24*$Q$4+Eingabe!StaerkeKarton)/$Q$6,0)*$Q$6</f>
        <v>#DIV/0!</v>
      </c>
    </row>
    <row r="25" spans="1:14" ht="14" customHeight="1">
      <c r="A25" s="11">
        <f t="shared" si="0"/>
        <v>272</v>
      </c>
      <c r="B25" s="12" t="e">
        <f>ROUND((A25*$Q$4+Eingabe!StaerkeKarton)/$Q$6,0)*$Q$6</f>
        <v>#DIV/0!</v>
      </c>
      <c r="D25" s="11">
        <f t="shared" si="1"/>
        <v>992</v>
      </c>
      <c r="E25" s="12" t="e">
        <f>ROUND((D25*$Q$4+Eingabe!StaerkeKarton)/$Q$6,0)*$Q$6</f>
        <v>#DIV/0!</v>
      </c>
      <c r="G25" s="11">
        <f t="shared" si="2"/>
        <v>1712</v>
      </c>
      <c r="H25" s="12" t="e">
        <f>ROUND((G25*$Q$4+Eingabe!StaerkeKarton)/$Q$6,0)*$Q$6</f>
        <v>#DIV/0!</v>
      </c>
      <c r="J25" s="11">
        <f t="shared" si="3"/>
        <v>2432</v>
      </c>
      <c r="K25" s="12" t="e">
        <f>ROUND((J25*$Q$4+Eingabe!StaerkeKarton)/$Q$6,0)*$Q$6</f>
        <v>#DIV/0!</v>
      </c>
      <c r="M25" s="11">
        <f t="shared" si="4"/>
        <v>3152</v>
      </c>
      <c r="N25" s="12" t="e">
        <f>ROUND((M25*$Q$4+Eingabe!StaerkeKarton)/$Q$6,0)*$Q$6</f>
        <v>#DIV/0!</v>
      </c>
    </row>
    <row r="26" spans="1:14" ht="14" customHeight="1">
      <c r="A26" s="11">
        <f t="shared" si="0"/>
        <v>288</v>
      </c>
      <c r="B26" s="12" t="e">
        <f>ROUND((A26*$Q$4+Eingabe!StaerkeKarton)/$Q$6,0)*$Q$6</f>
        <v>#DIV/0!</v>
      </c>
      <c r="D26" s="11">
        <f t="shared" si="1"/>
        <v>1008</v>
      </c>
      <c r="E26" s="12" t="e">
        <f>ROUND((D26*$Q$4+Eingabe!StaerkeKarton)/$Q$6,0)*$Q$6</f>
        <v>#DIV/0!</v>
      </c>
      <c r="G26" s="11">
        <f t="shared" si="2"/>
        <v>1728</v>
      </c>
      <c r="H26" s="12" t="e">
        <f>ROUND((G26*$Q$4+Eingabe!StaerkeKarton)/$Q$6,0)*$Q$6</f>
        <v>#DIV/0!</v>
      </c>
      <c r="J26" s="11">
        <f t="shared" si="3"/>
        <v>2448</v>
      </c>
      <c r="K26" s="12" t="e">
        <f>ROUND((J26*$Q$4+Eingabe!StaerkeKarton)/$Q$6,0)*$Q$6</f>
        <v>#DIV/0!</v>
      </c>
      <c r="M26" s="11">
        <f t="shared" si="4"/>
        <v>3168</v>
      </c>
      <c r="N26" s="12" t="e">
        <f>ROUND((M26*$Q$4+Eingabe!StaerkeKarton)/$Q$6,0)*$Q$6</f>
        <v>#DIV/0!</v>
      </c>
    </row>
    <row r="27" spans="1:14" ht="14" customHeight="1">
      <c r="A27" s="11">
        <f t="shared" si="0"/>
        <v>304</v>
      </c>
      <c r="B27" s="12" t="e">
        <f>ROUND((A27*$Q$4+Eingabe!StaerkeKarton)/$Q$6,0)*$Q$6</f>
        <v>#DIV/0!</v>
      </c>
      <c r="D27" s="11">
        <f t="shared" si="1"/>
        <v>1024</v>
      </c>
      <c r="E27" s="12" t="e">
        <f>ROUND((D27*$Q$4+Eingabe!StaerkeKarton)/$Q$6,0)*$Q$6</f>
        <v>#DIV/0!</v>
      </c>
      <c r="G27" s="11">
        <f t="shared" si="2"/>
        <v>1744</v>
      </c>
      <c r="H27" s="12" t="e">
        <f>ROUND((G27*$Q$4+Eingabe!StaerkeKarton)/$Q$6,0)*$Q$6</f>
        <v>#DIV/0!</v>
      </c>
      <c r="J27" s="11">
        <f t="shared" si="3"/>
        <v>2464</v>
      </c>
      <c r="K27" s="12" t="e">
        <f>ROUND((J27*$Q$4+Eingabe!StaerkeKarton)/$Q$6,0)*$Q$6</f>
        <v>#DIV/0!</v>
      </c>
      <c r="M27" s="11">
        <f t="shared" si="4"/>
        <v>3184</v>
      </c>
      <c r="N27" s="12" t="e">
        <f>ROUND((M27*$Q$4+Eingabe!StaerkeKarton)/$Q$6,0)*$Q$6</f>
        <v>#DIV/0!</v>
      </c>
    </row>
    <row r="28" spans="1:14" ht="14" customHeight="1">
      <c r="A28" s="11">
        <f t="shared" si="0"/>
        <v>320</v>
      </c>
      <c r="B28" s="12" t="e">
        <f>ROUND((A28*$Q$4+Eingabe!StaerkeKarton)/$Q$6,0)*$Q$6</f>
        <v>#DIV/0!</v>
      </c>
      <c r="D28" s="11">
        <f t="shared" si="1"/>
        <v>1040</v>
      </c>
      <c r="E28" s="12" t="e">
        <f>ROUND((D28*$Q$4+Eingabe!StaerkeKarton)/$Q$6,0)*$Q$6</f>
        <v>#DIV/0!</v>
      </c>
      <c r="G28" s="11">
        <f t="shared" si="2"/>
        <v>1760</v>
      </c>
      <c r="H28" s="12" t="e">
        <f>ROUND((G28*$Q$4+Eingabe!StaerkeKarton)/$Q$6,0)*$Q$6</f>
        <v>#DIV/0!</v>
      </c>
      <c r="J28" s="11">
        <f t="shared" si="3"/>
        <v>2480</v>
      </c>
      <c r="K28" s="12" t="e">
        <f>ROUND((J28*$Q$4+Eingabe!StaerkeKarton)/$Q$6,0)*$Q$6</f>
        <v>#DIV/0!</v>
      </c>
      <c r="M28" s="11">
        <f t="shared" si="4"/>
        <v>3200</v>
      </c>
      <c r="N28" s="12" t="e">
        <f>ROUND((M28*$Q$4+Eingabe!StaerkeKarton)/$Q$6,0)*$Q$6</f>
        <v>#DIV/0!</v>
      </c>
    </row>
    <row r="29" spans="1:14" ht="14" customHeight="1">
      <c r="A29" s="11">
        <f t="shared" si="0"/>
        <v>336</v>
      </c>
      <c r="B29" s="12" t="e">
        <f>ROUND((A29*$Q$4+Eingabe!StaerkeKarton)/$Q$6,0)*$Q$6</f>
        <v>#DIV/0!</v>
      </c>
      <c r="D29" s="11">
        <f t="shared" si="1"/>
        <v>1056</v>
      </c>
      <c r="E29" s="12" t="e">
        <f>ROUND((D29*$Q$4+Eingabe!StaerkeKarton)/$Q$6,0)*$Q$6</f>
        <v>#DIV/0!</v>
      </c>
      <c r="G29" s="11">
        <f t="shared" si="2"/>
        <v>1776</v>
      </c>
      <c r="H29" s="12" t="e">
        <f>ROUND((G29*$Q$4+Eingabe!StaerkeKarton)/$Q$6,0)*$Q$6</f>
        <v>#DIV/0!</v>
      </c>
      <c r="J29" s="11">
        <f t="shared" si="3"/>
        <v>2496</v>
      </c>
      <c r="K29" s="12" t="e">
        <f>ROUND((J29*$Q$4+Eingabe!StaerkeKarton)/$Q$6,0)*$Q$6</f>
        <v>#DIV/0!</v>
      </c>
      <c r="M29" s="11">
        <f t="shared" si="4"/>
        <v>3216</v>
      </c>
      <c r="N29" s="12" t="e">
        <f>ROUND((M29*$Q$4+Eingabe!StaerkeKarton)/$Q$6,0)*$Q$6</f>
        <v>#DIV/0!</v>
      </c>
    </row>
    <row r="30" spans="1:14" ht="14" customHeight="1">
      <c r="A30" s="11">
        <f t="shared" si="0"/>
        <v>352</v>
      </c>
      <c r="B30" s="12" t="e">
        <f>ROUND((A30*$Q$4+Eingabe!StaerkeKarton)/$Q$6,0)*$Q$6</f>
        <v>#DIV/0!</v>
      </c>
      <c r="D30" s="11">
        <f t="shared" si="1"/>
        <v>1072</v>
      </c>
      <c r="E30" s="12" t="e">
        <f>ROUND((D30*$Q$4+Eingabe!StaerkeKarton)/$Q$6,0)*$Q$6</f>
        <v>#DIV/0!</v>
      </c>
      <c r="G30" s="11">
        <f t="shared" si="2"/>
        <v>1792</v>
      </c>
      <c r="H30" s="12" t="e">
        <f>ROUND((G30*$Q$4+Eingabe!StaerkeKarton)/$Q$6,0)*$Q$6</f>
        <v>#DIV/0!</v>
      </c>
      <c r="J30" s="11">
        <f t="shared" si="3"/>
        <v>2512</v>
      </c>
      <c r="K30" s="12" t="e">
        <f>ROUND((J30*$Q$4+Eingabe!StaerkeKarton)/$Q$6,0)*$Q$6</f>
        <v>#DIV/0!</v>
      </c>
      <c r="M30" s="11">
        <f t="shared" si="4"/>
        <v>3232</v>
      </c>
      <c r="N30" s="12" t="e">
        <f>ROUND((M30*$Q$4+Eingabe!StaerkeKarton)/$Q$6,0)*$Q$6</f>
        <v>#DIV/0!</v>
      </c>
    </row>
    <row r="31" spans="1:14" ht="14" customHeight="1">
      <c r="A31" s="11">
        <f t="shared" si="0"/>
        <v>368</v>
      </c>
      <c r="B31" s="12" t="e">
        <f>ROUND((A31*$Q$4+Eingabe!StaerkeKarton)/$Q$6,0)*$Q$6</f>
        <v>#DIV/0!</v>
      </c>
      <c r="D31" s="11">
        <f t="shared" si="1"/>
        <v>1088</v>
      </c>
      <c r="E31" s="12" t="e">
        <f>ROUND((D31*$Q$4+Eingabe!StaerkeKarton)/$Q$6,0)*$Q$6</f>
        <v>#DIV/0!</v>
      </c>
      <c r="G31" s="11">
        <f t="shared" si="2"/>
        <v>1808</v>
      </c>
      <c r="H31" s="12" t="e">
        <f>ROUND((G31*$Q$4+Eingabe!StaerkeKarton)/$Q$6,0)*$Q$6</f>
        <v>#DIV/0!</v>
      </c>
      <c r="J31" s="11">
        <f t="shared" si="3"/>
        <v>2528</v>
      </c>
      <c r="K31" s="12" t="e">
        <f>ROUND((J31*$Q$4+Eingabe!StaerkeKarton)/$Q$6,0)*$Q$6</f>
        <v>#DIV/0!</v>
      </c>
      <c r="M31" s="11">
        <f t="shared" si="4"/>
        <v>3248</v>
      </c>
      <c r="N31" s="12" t="e">
        <f>ROUND((M31*$Q$4+Eingabe!StaerkeKarton)/$Q$6,0)*$Q$6</f>
        <v>#DIV/0!</v>
      </c>
    </row>
    <row r="32" spans="1:14" ht="14" customHeight="1">
      <c r="A32" s="11">
        <f t="shared" si="0"/>
        <v>384</v>
      </c>
      <c r="B32" s="12" t="e">
        <f>ROUND((A32*$Q$4+Eingabe!StaerkeKarton)/$Q$6,0)*$Q$6</f>
        <v>#DIV/0!</v>
      </c>
      <c r="D32" s="11">
        <f t="shared" si="1"/>
        <v>1104</v>
      </c>
      <c r="E32" s="12" t="e">
        <f>ROUND((D32*$Q$4+Eingabe!StaerkeKarton)/$Q$6,0)*$Q$6</f>
        <v>#DIV/0!</v>
      </c>
      <c r="G32" s="11">
        <f t="shared" si="2"/>
        <v>1824</v>
      </c>
      <c r="H32" s="12" t="e">
        <f>ROUND((G32*$Q$4+Eingabe!StaerkeKarton)/$Q$6,0)*$Q$6</f>
        <v>#DIV/0!</v>
      </c>
      <c r="J32" s="11">
        <f t="shared" si="3"/>
        <v>2544</v>
      </c>
      <c r="K32" s="12" t="e">
        <f>ROUND((J32*$Q$4+Eingabe!StaerkeKarton)/$Q$6,0)*$Q$6</f>
        <v>#DIV/0!</v>
      </c>
      <c r="M32" s="11">
        <f t="shared" si="4"/>
        <v>3264</v>
      </c>
      <c r="N32" s="12" t="e">
        <f>ROUND((M32*$Q$4+Eingabe!StaerkeKarton)/$Q$6,0)*$Q$6</f>
        <v>#DIV/0!</v>
      </c>
    </row>
    <row r="33" spans="1:14" ht="14" customHeight="1">
      <c r="A33" s="11">
        <f t="shared" si="0"/>
        <v>400</v>
      </c>
      <c r="B33" s="12" t="e">
        <f>ROUND((A33*$Q$4+Eingabe!StaerkeKarton)/$Q$6,0)*$Q$6</f>
        <v>#DIV/0!</v>
      </c>
      <c r="D33" s="11">
        <f t="shared" si="1"/>
        <v>1120</v>
      </c>
      <c r="E33" s="12" t="e">
        <f>ROUND((D33*$Q$4+Eingabe!StaerkeKarton)/$Q$6,0)*$Q$6</f>
        <v>#DIV/0!</v>
      </c>
      <c r="G33" s="11">
        <f t="shared" si="2"/>
        <v>1840</v>
      </c>
      <c r="H33" s="12" t="e">
        <f>ROUND((G33*$Q$4+Eingabe!StaerkeKarton)/$Q$6,0)*$Q$6</f>
        <v>#DIV/0!</v>
      </c>
      <c r="J33" s="11">
        <f t="shared" si="3"/>
        <v>2560</v>
      </c>
      <c r="K33" s="12" t="e">
        <f>ROUND((J33*$Q$4+Eingabe!StaerkeKarton)/$Q$6,0)*$Q$6</f>
        <v>#DIV/0!</v>
      </c>
      <c r="M33" s="11">
        <f t="shared" si="4"/>
        <v>3280</v>
      </c>
      <c r="N33" s="12" t="e">
        <f>ROUND((M33*$Q$4+Eingabe!StaerkeKarton)/$Q$6,0)*$Q$6</f>
        <v>#DIV/0!</v>
      </c>
    </row>
    <row r="34" spans="1:14" ht="14" customHeight="1">
      <c r="A34" s="11">
        <f t="shared" si="0"/>
        <v>416</v>
      </c>
      <c r="B34" s="12" t="e">
        <f>ROUND((A34*$Q$4+Eingabe!StaerkeKarton)/$Q$6,0)*$Q$6</f>
        <v>#DIV/0!</v>
      </c>
      <c r="D34" s="11">
        <f t="shared" si="1"/>
        <v>1136</v>
      </c>
      <c r="E34" s="12" t="e">
        <f>ROUND((D34*$Q$4+Eingabe!StaerkeKarton)/$Q$6,0)*$Q$6</f>
        <v>#DIV/0!</v>
      </c>
      <c r="G34" s="11">
        <f t="shared" si="2"/>
        <v>1856</v>
      </c>
      <c r="H34" s="12" t="e">
        <f>ROUND((G34*$Q$4+Eingabe!StaerkeKarton)/$Q$6,0)*$Q$6</f>
        <v>#DIV/0!</v>
      </c>
      <c r="J34" s="11">
        <f t="shared" si="3"/>
        <v>2576</v>
      </c>
      <c r="K34" s="12" t="e">
        <f>ROUND((J34*$Q$4+Eingabe!StaerkeKarton)/$Q$6,0)*$Q$6</f>
        <v>#DIV/0!</v>
      </c>
      <c r="M34" s="11">
        <f t="shared" si="4"/>
        <v>3296</v>
      </c>
      <c r="N34" s="12" t="e">
        <f>ROUND((M34*$Q$4+Eingabe!StaerkeKarton)/$Q$6,0)*$Q$6</f>
        <v>#DIV/0!</v>
      </c>
    </row>
    <row r="35" spans="1:14" ht="14" customHeight="1">
      <c r="A35" s="11">
        <f t="shared" si="0"/>
        <v>432</v>
      </c>
      <c r="B35" s="12" t="e">
        <f>ROUND((A35*$Q$4+Eingabe!StaerkeKarton)/$Q$6,0)*$Q$6</f>
        <v>#DIV/0!</v>
      </c>
      <c r="D35" s="11">
        <f t="shared" si="1"/>
        <v>1152</v>
      </c>
      <c r="E35" s="12" t="e">
        <f>ROUND((D35*$Q$4+Eingabe!StaerkeKarton)/$Q$6,0)*$Q$6</f>
        <v>#DIV/0!</v>
      </c>
      <c r="G35" s="11">
        <f t="shared" si="2"/>
        <v>1872</v>
      </c>
      <c r="H35" s="12" t="e">
        <f>ROUND((G35*$Q$4+Eingabe!StaerkeKarton)/$Q$6,0)*$Q$6</f>
        <v>#DIV/0!</v>
      </c>
      <c r="J35" s="11">
        <f t="shared" si="3"/>
        <v>2592</v>
      </c>
      <c r="K35" s="12" t="e">
        <f>ROUND((J35*$Q$4+Eingabe!StaerkeKarton)/$Q$6,0)*$Q$6</f>
        <v>#DIV/0!</v>
      </c>
      <c r="M35" s="11">
        <f t="shared" si="4"/>
        <v>3312</v>
      </c>
      <c r="N35" s="12" t="e">
        <f>ROUND((M35*$Q$4+Eingabe!StaerkeKarton)/$Q$6,0)*$Q$6</f>
        <v>#DIV/0!</v>
      </c>
    </row>
    <row r="36" spans="1:14" ht="14" customHeight="1">
      <c r="A36" s="11">
        <f t="shared" si="0"/>
        <v>448</v>
      </c>
      <c r="B36" s="12" t="e">
        <f>ROUND((A36*$Q$4+Eingabe!StaerkeKarton)/$Q$6,0)*$Q$6</f>
        <v>#DIV/0!</v>
      </c>
      <c r="D36" s="11">
        <f t="shared" si="1"/>
        <v>1168</v>
      </c>
      <c r="E36" s="12" t="e">
        <f>ROUND((D36*$Q$4+Eingabe!StaerkeKarton)/$Q$6,0)*$Q$6</f>
        <v>#DIV/0!</v>
      </c>
      <c r="G36" s="11">
        <f t="shared" si="2"/>
        <v>1888</v>
      </c>
      <c r="H36" s="12" t="e">
        <f>ROUND((G36*$Q$4+Eingabe!StaerkeKarton)/$Q$6,0)*$Q$6</f>
        <v>#DIV/0!</v>
      </c>
      <c r="J36" s="11">
        <f t="shared" si="3"/>
        <v>2608</v>
      </c>
      <c r="K36" s="12" t="e">
        <f>ROUND((J36*$Q$4+Eingabe!StaerkeKarton)/$Q$6,0)*$Q$6</f>
        <v>#DIV/0!</v>
      </c>
      <c r="M36" s="11">
        <f t="shared" si="4"/>
        <v>3328</v>
      </c>
      <c r="N36" s="12" t="e">
        <f>ROUND((M36*$Q$4+Eingabe!StaerkeKarton)/$Q$6,0)*$Q$6</f>
        <v>#DIV/0!</v>
      </c>
    </row>
    <row r="37" spans="1:14" ht="14" customHeight="1">
      <c r="A37" s="11">
        <f t="shared" si="0"/>
        <v>464</v>
      </c>
      <c r="B37" s="12" t="e">
        <f>ROUND((A37*$Q$4+Eingabe!StaerkeKarton)/$Q$6,0)*$Q$6</f>
        <v>#DIV/0!</v>
      </c>
      <c r="D37" s="11">
        <f t="shared" si="1"/>
        <v>1184</v>
      </c>
      <c r="E37" s="12" t="e">
        <f>ROUND((D37*$Q$4+Eingabe!StaerkeKarton)/$Q$6,0)*$Q$6</f>
        <v>#DIV/0!</v>
      </c>
      <c r="G37" s="11">
        <f t="shared" si="2"/>
        <v>1904</v>
      </c>
      <c r="H37" s="12" t="e">
        <f>ROUND((G37*$Q$4+Eingabe!StaerkeKarton)/$Q$6,0)*$Q$6</f>
        <v>#DIV/0!</v>
      </c>
      <c r="J37" s="11">
        <f t="shared" si="3"/>
        <v>2624</v>
      </c>
      <c r="K37" s="12" t="e">
        <f>ROUND((J37*$Q$4+Eingabe!StaerkeKarton)/$Q$6,0)*$Q$6</f>
        <v>#DIV/0!</v>
      </c>
      <c r="M37" s="11">
        <f t="shared" si="4"/>
        <v>3344</v>
      </c>
      <c r="N37" s="12" t="e">
        <f>ROUND((M37*$Q$4+Eingabe!StaerkeKarton)/$Q$6,0)*$Q$6</f>
        <v>#DIV/0!</v>
      </c>
    </row>
    <row r="38" spans="1:14" ht="14" customHeight="1">
      <c r="A38" s="11">
        <f t="shared" si="0"/>
        <v>480</v>
      </c>
      <c r="B38" s="12" t="e">
        <f>ROUND((A38*$Q$4+Eingabe!StaerkeKarton)/$Q$6,0)*$Q$6</f>
        <v>#DIV/0!</v>
      </c>
      <c r="D38" s="11">
        <f t="shared" si="1"/>
        <v>1200</v>
      </c>
      <c r="E38" s="12" t="e">
        <f>ROUND((D38*$Q$4+Eingabe!StaerkeKarton)/$Q$6,0)*$Q$6</f>
        <v>#DIV/0!</v>
      </c>
      <c r="G38" s="11">
        <f t="shared" si="2"/>
        <v>1920</v>
      </c>
      <c r="H38" s="12" t="e">
        <f>ROUND((G38*$Q$4+Eingabe!StaerkeKarton)/$Q$6,0)*$Q$6</f>
        <v>#DIV/0!</v>
      </c>
      <c r="J38" s="11">
        <f t="shared" si="3"/>
        <v>2640</v>
      </c>
      <c r="K38" s="12" t="e">
        <f>ROUND((J38*$Q$4+Eingabe!StaerkeKarton)/$Q$6,0)*$Q$6</f>
        <v>#DIV/0!</v>
      </c>
      <c r="M38" s="11">
        <f t="shared" si="4"/>
        <v>3360</v>
      </c>
      <c r="N38" s="12" t="e">
        <f>ROUND((M38*$Q$4+Eingabe!StaerkeKarton)/$Q$6,0)*$Q$6</f>
        <v>#DIV/0!</v>
      </c>
    </row>
    <row r="39" spans="1:14" ht="14" customHeight="1">
      <c r="A39" s="11">
        <f t="shared" si="0"/>
        <v>496</v>
      </c>
      <c r="B39" s="12" t="e">
        <f>ROUND((A39*$Q$4+Eingabe!StaerkeKarton)/$Q$6,0)*$Q$6</f>
        <v>#DIV/0!</v>
      </c>
      <c r="D39" s="11">
        <f t="shared" si="1"/>
        <v>1216</v>
      </c>
      <c r="E39" s="12" t="e">
        <f>ROUND((D39*$Q$4+Eingabe!StaerkeKarton)/$Q$6,0)*$Q$6</f>
        <v>#DIV/0!</v>
      </c>
      <c r="G39" s="11">
        <f t="shared" si="2"/>
        <v>1936</v>
      </c>
      <c r="H39" s="12" t="e">
        <f>ROUND((G39*$Q$4+Eingabe!StaerkeKarton)/$Q$6,0)*$Q$6</f>
        <v>#DIV/0!</v>
      </c>
      <c r="J39" s="11">
        <f t="shared" si="3"/>
        <v>2656</v>
      </c>
      <c r="K39" s="12" t="e">
        <f>ROUND((J39*$Q$4+Eingabe!StaerkeKarton)/$Q$6,0)*$Q$6</f>
        <v>#DIV/0!</v>
      </c>
      <c r="M39" s="11">
        <f t="shared" si="4"/>
        <v>3376</v>
      </c>
      <c r="N39" s="12" t="e">
        <f>ROUND((M39*$Q$4+Eingabe!StaerkeKarton)/$Q$6,0)*$Q$6</f>
        <v>#DIV/0!</v>
      </c>
    </row>
    <row r="40" spans="1:14" ht="14" customHeight="1">
      <c r="A40" s="11">
        <f t="shared" si="0"/>
        <v>512</v>
      </c>
      <c r="B40" s="12" t="e">
        <f>ROUND((A40*$Q$4+Eingabe!StaerkeKarton)/$Q$6,0)*$Q$6</f>
        <v>#DIV/0!</v>
      </c>
      <c r="D40" s="11">
        <f t="shared" si="1"/>
        <v>1232</v>
      </c>
      <c r="E40" s="12" t="e">
        <f>ROUND((D40*$Q$4+Eingabe!StaerkeKarton)/$Q$6,0)*$Q$6</f>
        <v>#DIV/0!</v>
      </c>
      <c r="G40" s="11">
        <f t="shared" si="2"/>
        <v>1952</v>
      </c>
      <c r="H40" s="12" t="e">
        <f>ROUND((G40*$Q$4+Eingabe!StaerkeKarton)/$Q$6,0)*$Q$6</f>
        <v>#DIV/0!</v>
      </c>
      <c r="J40" s="11">
        <f t="shared" si="3"/>
        <v>2672</v>
      </c>
      <c r="K40" s="12" t="e">
        <f>ROUND((J40*$Q$4+Eingabe!StaerkeKarton)/$Q$6,0)*$Q$6</f>
        <v>#DIV/0!</v>
      </c>
      <c r="M40" s="11">
        <f t="shared" si="4"/>
        <v>3392</v>
      </c>
      <c r="N40" s="12" t="e">
        <f>ROUND((M40*$Q$4+Eingabe!StaerkeKarton)/$Q$6,0)*$Q$6</f>
        <v>#DIV/0!</v>
      </c>
    </row>
    <row r="41" spans="1:14" ht="14" customHeight="1">
      <c r="A41" s="11">
        <f t="shared" si="0"/>
        <v>528</v>
      </c>
      <c r="B41" s="12" t="e">
        <f>ROUND((A41*$Q$4+Eingabe!StaerkeKarton)/$Q$6,0)*$Q$6</f>
        <v>#DIV/0!</v>
      </c>
      <c r="D41" s="11">
        <f t="shared" si="1"/>
        <v>1248</v>
      </c>
      <c r="E41" s="12" t="e">
        <f>ROUND((D41*$Q$4+Eingabe!StaerkeKarton)/$Q$6,0)*$Q$6</f>
        <v>#DIV/0!</v>
      </c>
      <c r="G41" s="11">
        <f t="shared" si="2"/>
        <v>1968</v>
      </c>
      <c r="H41" s="12" t="e">
        <f>ROUND((G41*$Q$4+Eingabe!StaerkeKarton)/$Q$6,0)*$Q$6</f>
        <v>#DIV/0!</v>
      </c>
      <c r="J41" s="11">
        <f t="shared" si="3"/>
        <v>2688</v>
      </c>
      <c r="K41" s="12" t="e">
        <f>ROUND((J41*$Q$4+Eingabe!StaerkeKarton)/$Q$6,0)*$Q$6</f>
        <v>#DIV/0!</v>
      </c>
      <c r="M41" s="11">
        <f t="shared" si="4"/>
        <v>3408</v>
      </c>
      <c r="N41" s="12" t="e">
        <f>ROUND((M41*$Q$4+Eingabe!StaerkeKarton)/$Q$6,0)*$Q$6</f>
        <v>#DIV/0!</v>
      </c>
    </row>
    <row r="42" spans="1:14" ht="14" customHeight="1">
      <c r="A42" s="11">
        <f t="shared" si="0"/>
        <v>544</v>
      </c>
      <c r="B42" s="12" t="e">
        <f>ROUND((A42*$Q$4+Eingabe!StaerkeKarton)/$Q$6,0)*$Q$6</f>
        <v>#DIV/0!</v>
      </c>
      <c r="D42" s="11">
        <f t="shared" si="1"/>
        <v>1264</v>
      </c>
      <c r="E42" s="12" t="e">
        <f>ROUND((D42*$Q$4+Eingabe!StaerkeKarton)/$Q$6,0)*$Q$6</f>
        <v>#DIV/0!</v>
      </c>
      <c r="G42" s="11">
        <f t="shared" si="2"/>
        <v>1984</v>
      </c>
      <c r="H42" s="12" t="e">
        <f>ROUND((G42*$Q$4+Eingabe!StaerkeKarton)/$Q$6,0)*$Q$6</f>
        <v>#DIV/0!</v>
      </c>
      <c r="J42" s="11">
        <f t="shared" si="3"/>
        <v>2704</v>
      </c>
      <c r="K42" s="12" t="e">
        <f>ROUND((J42*$Q$4+Eingabe!StaerkeKarton)/$Q$6,0)*$Q$6</f>
        <v>#DIV/0!</v>
      </c>
      <c r="M42" s="11">
        <f t="shared" si="4"/>
        <v>3424</v>
      </c>
      <c r="N42" s="12" t="e">
        <f>ROUND((M42*$Q$4+Eingabe!StaerkeKarton)/$Q$6,0)*$Q$6</f>
        <v>#DIV/0!</v>
      </c>
    </row>
    <row r="43" spans="1:14" ht="14" customHeight="1">
      <c r="A43" s="11">
        <f t="shared" si="0"/>
        <v>560</v>
      </c>
      <c r="B43" s="12" t="e">
        <f>ROUND((A43*$Q$4+Eingabe!StaerkeKarton)/$Q$6,0)*$Q$6</f>
        <v>#DIV/0!</v>
      </c>
      <c r="D43" s="11">
        <f t="shared" si="1"/>
        <v>1280</v>
      </c>
      <c r="E43" s="12" t="e">
        <f>ROUND((D43*$Q$4+Eingabe!StaerkeKarton)/$Q$6,0)*$Q$6</f>
        <v>#DIV/0!</v>
      </c>
      <c r="G43" s="11">
        <f t="shared" si="2"/>
        <v>2000</v>
      </c>
      <c r="H43" s="12" t="e">
        <f>ROUND((G43*$Q$4+Eingabe!StaerkeKarton)/$Q$6,0)*$Q$6</f>
        <v>#DIV/0!</v>
      </c>
      <c r="J43" s="11">
        <f t="shared" si="3"/>
        <v>2720</v>
      </c>
      <c r="K43" s="12" t="e">
        <f>ROUND((J43*$Q$4+Eingabe!StaerkeKarton)/$Q$6,0)*$Q$6</f>
        <v>#DIV/0!</v>
      </c>
      <c r="M43" s="11">
        <f t="shared" si="4"/>
        <v>3440</v>
      </c>
      <c r="N43" s="12" t="e">
        <f>ROUND((M43*$Q$4+Eingabe!StaerkeKarton)/$Q$6,0)*$Q$6</f>
        <v>#DIV/0!</v>
      </c>
    </row>
    <row r="44" spans="1:14" ht="14" customHeight="1">
      <c r="A44" s="11">
        <f t="shared" si="0"/>
        <v>576</v>
      </c>
      <c r="B44" s="12" t="e">
        <f>ROUND((A44*$Q$4+Eingabe!StaerkeKarton)/$Q$6,0)*$Q$6</f>
        <v>#DIV/0!</v>
      </c>
      <c r="D44" s="11">
        <f t="shared" si="1"/>
        <v>1296</v>
      </c>
      <c r="E44" s="12" t="e">
        <f>ROUND((D44*$Q$4+Eingabe!StaerkeKarton)/$Q$6,0)*$Q$6</f>
        <v>#DIV/0!</v>
      </c>
      <c r="G44" s="11">
        <f t="shared" si="2"/>
        <v>2016</v>
      </c>
      <c r="H44" s="12" t="e">
        <f>ROUND((G44*$Q$4+Eingabe!StaerkeKarton)/$Q$6,0)*$Q$6</f>
        <v>#DIV/0!</v>
      </c>
      <c r="J44" s="11">
        <f t="shared" si="3"/>
        <v>2736</v>
      </c>
      <c r="K44" s="12" t="e">
        <f>ROUND((J44*$Q$4+Eingabe!StaerkeKarton)/$Q$6,0)*$Q$6</f>
        <v>#DIV/0!</v>
      </c>
      <c r="M44" s="11">
        <f t="shared" si="4"/>
        <v>3456</v>
      </c>
      <c r="N44" s="12" t="e">
        <f>ROUND((M44*$Q$4+Eingabe!StaerkeKarton)/$Q$6,0)*$Q$6</f>
        <v>#DIV/0!</v>
      </c>
    </row>
    <row r="45" spans="1:14" ht="14" customHeight="1">
      <c r="A45" s="11">
        <f t="shared" si="0"/>
        <v>592</v>
      </c>
      <c r="B45" s="12" t="e">
        <f>ROUND((A45*$Q$4+Eingabe!StaerkeKarton)/$Q$6,0)*$Q$6</f>
        <v>#DIV/0!</v>
      </c>
      <c r="D45" s="11">
        <f t="shared" si="1"/>
        <v>1312</v>
      </c>
      <c r="E45" s="12" t="e">
        <f>ROUND((D45*$Q$4+Eingabe!StaerkeKarton)/$Q$6,0)*$Q$6</f>
        <v>#DIV/0!</v>
      </c>
      <c r="G45" s="11">
        <f t="shared" si="2"/>
        <v>2032</v>
      </c>
      <c r="H45" s="12" t="e">
        <f>ROUND((G45*$Q$4+Eingabe!StaerkeKarton)/$Q$6,0)*$Q$6</f>
        <v>#DIV/0!</v>
      </c>
      <c r="J45" s="11">
        <f t="shared" si="3"/>
        <v>2752</v>
      </c>
      <c r="K45" s="12" t="e">
        <f>ROUND((J45*$Q$4+Eingabe!StaerkeKarton)/$Q$6,0)*$Q$6</f>
        <v>#DIV/0!</v>
      </c>
      <c r="M45" s="11">
        <f t="shared" si="4"/>
        <v>3472</v>
      </c>
      <c r="N45" s="12" t="e">
        <f>ROUND((M45*$Q$4+Eingabe!StaerkeKarton)/$Q$6,0)*$Q$6</f>
        <v>#DIV/0!</v>
      </c>
    </row>
    <row r="46" spans="1:14" ht="14" customHeight="1">
      <c r="A46" s="11">
        <f t="shared" si="0"/>
        <v>608</v>
      </c>
      <c r="B46" s="12" t="e">
        <f>ROUND((A46*$Q$4+Eingabe!StaerkeKarton)/$Q$6,0)*$Q$6</f>
        <v>#DIV/0!</v>
      </c>
      <c r="D46" s="11">
        <f t="shared" si="1"/>
        <v>1328</v>
      </c>
      <c r="E46" s="12" t="e">
        <f>ROUND((D46*$Q$4+Eingabe!StaerkeKarton)/$Q$6,0)*$Q$6</f>
        <v>#DIV/0!</v>
      </c>
      <c r="G46" s="11">
        <f t="shared" si="2"/>
        <v>2048</v>
      </c>
      <c r="H46" s="12" t="e">
        <f>ROUND((G46*$Q$4+Eingabe!StaerkeKarton)/$Q$6,0)*$Q$6</f>
        <v>#DIV/0!</v>
      </c>
      <c r="J46" s="11">
        <f t="shared" si="3"/>
        <v>2768</v>
      </c>
      <c r="K46" s="12" t="e">
        <f>ROUND((J46*$Q$4+Eingabe!StaerkeKarton)/$Q$6,0)*$Q$6</f>
        <v>#DIV/0!</v>
      </c>
      <c r="M46" s="11">
        <f t="shared" si="4"/>
        <v>3488</v>
      </c>
      <c r="N46" s="12" t="e">
        <f>ROUND((M46*$Q$4+Eingabe!StaerkeKarton)/$Q$6,0)*$Q$6</f>
        <v>#DIV/0!</v>
      </c>
    </row>
    <row r="47" spans="1:14" ht="14" customHeight="1">
      <c r="A47" s="11">
        <f t="shared" si="0"/>
        <v>624</v>
      </c>
      <c r="B47" s="12" t="e">
        <f>ROUND((A47*$Q$4+Eingabe!StaerkeKarton)/$Q$6,0)*$Q$6</f>
        <v>#DIV/0!</v>
      </c>
      <c r="D47" s="11">
        <f t="shared" si="1"/>
        <v>1344</v>
      </c>
      <c r="E47" s="12" t="e">
        <f>ROUND((D47*$Q$4+Eingabe!StaerkeKarton)/$Q$6,0)*$Q$6</f>
        <v>#DIV/0!</v>
      </c>
      <c r="G47" s="11">
        <f t="shared" si="2"/>
        <v>2064</v>
      </c>
      <c r="H47" s="12" t="e">
        <f>ROUND((G47*$Q$4+Eingabe!StaerkeKarton)/$Q$6,0)*$Q$6</f>
        <v>#DIV/0!</v>
      </c>
      <c r="J47" s="11">
        <f t="shared" si="3"/>
        <v>2784</v>
      </c>
      <c r="K47" s="12" t="e">
        <f>ROUND((J47*$Q$4+Eingabe!StaerkeKarton)/$Q$6,0)*$Q$6</f>
        <v>#DIV/0!</v>
      </c>
      <c r="M47" s="11">
        <f t="shared" si="4"/>
        <v>3504</v>
      </c>
      <c r="N47" s="12" t="e">
        <f>ROUND((M47*$Q$4+Eingabe!StaerkeKarton)/$Q$6,0)*$Q$6</f>
        <v>#DIV/0!</v>
      </c>
    </row>
    <row r="48" spans="1:14" ht="14" customHeight="1">
      <c r="A48" s="11">
        <f t="shared" si="0"/>
        <v>640</v>
      </c>
      <c r="B48" s="12" t="e">
        <f>ROUND((A48*$Q$4+Eingabe!StaerkeKarton)/$Q$6,0)*$Q$6</f>
        <v>#DIV/0!</v>
      </c>
      <c r="D48" s="11">
        <f t="shared" si="1"/>
        <v>1360</v>
      </c>
      <c r="E48" s="12" t="e">
        <f>ROUND((D48*$Q$4+Eingabe!StaerkeKarton)/$Q$6,0)*$Q$6</f>
        <v>#DIV/0!</v>
      </c>
      <c r="G48" s="11">
        <f t="shared" si="2"/>
        <v>2080</v>
      </c>
      <c r="H48" s="12" t="e">
        <f>ROUND((G48*$Q$4+Eingabe!StaerkeKarton)/$Q$6,0)*$Q$6</f>
        <v>#DIV/0!</v>
      </c>
      <c r="J48" s="11">
        <f t="shared" si="3"/>
        <v>2800</v>
      </c>
      <c r="K48" s="12" t="e">
        <f>ROUND((J48*$Q$4+Eingabe!StaerkeKarton)/$Q$6,0)*$Q$6</f>
        <v>#DIV/0!</v>
      </c>
      <c r="M48" s="11">
        <f t="shared" si="4"/>
        <v>3520</v>
      </c>
      <c r="N48" s="12" t="e">
        <f>ROUND((M48*$Q$4+Eingabe!StaerkeKarton)/$Q$6,0)*$Q$6</f>
        <v>#DIV/0!</v>
      </c>
    </row>
    <row r="49" spans="1:14" ht="14" customHeight="1">
      <c r="A49" s="11">
        <f t="shared" si="0"/>
        <v>656</v>
      </c>
      <c r="B49" s="12" t="e">
        <f>ROUND((A49*$Q$4+Eingabe!StaerkeKarton)/$Q$6,0)*$Q$6</f>
        <v>#DIV/0!</v>
      </c>
      <c r="D49" s="11">
        <f t="shared" si="1"/>
        <v>1376</v>
      </c>
      <c r="E49" s="12" t="e">
        <f>ROUND((D49*$Q$4+Eingabe!StaerkeKarton)/$Q$6,0)*$Q$6</f>
        <v>#DIV/0!</v>
      </c>
      <c r="G49" s="11">
        <f t="shared" si="2"/>
        <v>2096</v>
      </c>
      <c r="H49" s="12" t="e">
        <f>ROUND((G49*$Q$4+Eingabe!StaerkeKarton)/$Q$6,0)*$Q$6</f>
        <v>#DIV/0!</v>
      </c>
      <c r="J49" s="11">
        <f t="shared" si="3"/>
        <v>2816</v>
      </c>
      <c r="K49" s="12" t="e">
        <f>ROUND((J49*$Q$4+Eingabe!StaerkeKarton)/$Q$6,0)*$Q$6</f>
        <v>#DIV/0!</v>
      </c>
      <c r="M49" s="11">
        <f t="shared" si="4"/>
        <v>3536</v>
      </c>
      <c r="N49" s="12" t="e">
        <f>ROUND((M49*$Q$4+Eingabe!StaerkeKarton)/$Q$6,0)*$Q$6</f>
        <v>#DIV/0!</v>
      </c>
    </row>
    <row r="50" spans="1:14" ht="14" customHeight="1">
      <c r="A50" s="11">
        <f t="shared" si="0"/>
        <v>672</v>
      </c>
      <c r="B50" s="12" t="e">
        <f>ROUND((A50*$Q$4+Eingabe!StaerkeKarton)/$Q$6,0)*$Q$6</f>
        <v>#DIV/0!</v>
      </c>
      <c r="D50" s="11">
        <f t="shared" si="1"/>
        <v>1392</v>
      </c>
      <c r="E50" s="12" t="e">
        <f>ROUND((D50*$Q$4+Eingabe!StaerkeKarton)/$Q$6,0)*$Q$6</f>
        <v>#DIV/0!</v>
      </c>
      <c r="G50" s="11">
        <f t="shared" si="2"/>
        <v>2112</v>
      </c>
      <c r="H50" s="12" t="e">
        <f>ROUND((G50*$Q$4+Eingabe!StaerkeKarton)/$Q$6,0)*$Q$6</f>
        <v>#DIV/0!</v>
      </c>
      <c r="J50" s="11">
        <f t="shared" si="3"/>
        <v>2832</v>
      </c>
      <c r="K50" s="12" t="e">
        <f>ROUND((J50*$Q$4+Eingabe!StaerkeKarton)/$Q$6,0)*$Q$6</f>
        <v>#DIV/0!</v>
      </c>
      <c r="M50" s="11">
        <f t="shared" si="4"/>
        <v>3552</v>
      </c>
      <c r="N50" s="12" t="e">
        <f>ROUND((M50*$Q$4+Eingabe!StaerkeKarton)/$Q$6,0)*$Q$6</f>
        <v>#DIV/0!</v>
      </c>
    </row>
    <row r="51" spans="1:14" ht="14" customHeight="1">
      <c r="A51" s="11">
        <f t="shared" si="0"/>
        <v>688</v>
      </c>
      <c r="B51" s="12" t="e">
        <f>ROUND((A51*$Q$4+Eingabe!StaerkeKarton)/$Q$6,0)*$Q$6</f>
        <v>#DIV/0!</v>
      </c>
      <c r="D51" s="11">
        <f t="shared" si="1"/>
        <v>1408</v>
      </c>
      <c r="E51" s="12" t="e">
        <f>ROUND((D51*$Q$4+Eingabe!StaerkeKarton)/$Q$6,0)*$Q$6</f>
        <v>#DIV/0!</v>
      </c>
      <c r="G51" s="11">
        <f t="shared" si="2"/>
        <v>2128</v>
      </c>
      <c r="H51" s="12" t="e">
        <f>ROUND((G51*$Q$4+Eingabe!StaerkeKarton)/$Q$6,0)*$Q$6</f>
        <v>#DIV/0!</v>
      </c>
      <c r="J51" s="11">
        <f t="shared" si="3"/>
        <v>2848</v>
      </c>
      <c r="K51" s="12" t="e">
        <f>ROUND((J51*$Q$4+Eingabe!StaerkeKarton)/$Q$6,0)*$Q$6</f>
        <v>#DIV/0!</v>
      </c>
      <c r="M51" s="11">
        <f t="shared" si="4"/>
        <v>3568</v>
      </c>
      <c r="N51" s="12" t="e">
        <f>ROUND((M51*$Q$4+Eingabe!StaerkeKarton)/$Q$6,0)*$Q$6</f>
        <v>#DIV/0!</v>
      </c>
    </row>
    <row r="52" spans="1:14" ht="14" customHeight="1">
      <c r="A52" s="11">
        <f t="shared" si="0"/>
        <v>704</v>
      </c>
      <c r="B52" s="12" t="e">
        <f>ROUND((A52*$Q$4+Eingabe!StaerkeKarton)/$Q$6,0)*$Q$6</f>
        <v>#DIV/0!</v>
      </c>
      <c r="D52" s="11">
        <f t="shared" si="1"/>
        <v>1424</v>
      </c>
      <c r="E52" s="12" t="e">
        <f>ROUND((D52*$Q$4+Eingabe!StaerkeKarton)/$Q$6,0)*$Q$6</f>
        <v>#DIV/0!</v>
      </c>
      <c r="G52" s="11">
        <f t="shared" si="2"/>
        <v>2144</v>
      </c>
      <c r="H52" s="12" t="e">
        <f>ROUND((G52*$Q$4+Eingabe!StaerkeKarton)/$Q$6,0)*$Q$6</f>
        <v>#DIV/0!</v>
      </c>
      <c r="J52" s="11">
        <f t="shared" si="3"/>
        <v>2864</v>
      </c>
      <c r="K52" s="12" t="e">
        <f>ROUND((J52*$Q$4+Eingabe!StaerkeKarton)/$Q$6,0)*$Q$6</f>
        <v>#DIV/0!</v>
      </c>
      <c r="M52" s="11">
        <f t="shared" si="4"/>
        <v>3584</v>
      </c>
      <c r="N52" s="12" t="e">
        <f>ROUND((M52*$Q$4+Eingabe!StaerkeKarton)/$Q$6,0)*$Q$6</f>
        <v>#DIV/0!</v>
      </c>
    </row>
    <row r="53" spans="1:14" ht="14" customHeight="1">
      <c r="A53" s="11">
        <f t="shared" si="0"/>
        <v>720</v>
      </c>
      <c r="B53" s="12" t="e">
        <f>ROUND((A53*$Q$4+Eingabe!StaerkeKarton)/$Q$6,0)*$Q$6</f>
        <v>#DIV/0!</v>
      </c>
      <c r="D53" s="11">
        <f t="shared" si="1"/>
        <v>1440</v>
      </c>
      <c r="E53" s="12" t="e">
        <f>ROUND((D53*$Q$4+Eingabe!StaerkeKarton)/$Q$6,0)*$Q$6</f>
        <v>#DIV/0!</v>
      </c>
      <c r="G53" s="11">
        <f t="shared" si="2"/>
        <v>2160</v>
      </c>
      <c r="H53" s="12" t="e">
        <f>ROUND((G53*$Q$4+Eingabe!StaerkeKarton)/$Q$6,0)*$Q$6</f>
        <v>#DIV/0!</v>
      </c>
      <c r="J53" s="11">
        <f t="shared" si="3"/>
        <v>2880</v>
      </c>
      <c r="K53" s="12" t="e">
        <f>ROUND((J53*$Q$4+Eingabe!StaerkeKarton)/$Q$6,0)*$Q$6</f>
        <v>#DIV/0!</v>
      </c>
      <c r="M53" s="11">
        <f t="shared" si="4"/>
        <v>3600</v>
      </c>
      <c r="N53" s="12" t="e">
        <f>ROUND((M53*$Q$4+Eingabe!StaerkeKarton)/$Q$6,0)*$Q$6</f>
        <v>#DIV/0!</v>
      </c>
    </row>
    <row r="55" spans="1:14">
      <c r="A55" s="13" t="str">
        <f ca="1">CONCATENATE(txtRückenbreite," in mm ",txtinkl," ",txtKartonumschlag,"!")</f>
        <v>Rückenbreite in mm inkl. Kartonumschlag!</v>
      </c>
    </row>
  </sheetData>
  <sheetProtection sheet="1" objects="1" scenarios="1" selectLockedCells="1"/>
  <mergeCells count="1">
    <mergeCell ref="E2:G2"/>
  </mergeCells>
  <phoneticPr fontId="0" type="noConversion"/>
  <conditionalFormatting sqref="N9:N53 B9:B53 H9:H53 K9:K53 E9:E53">
    <cfRule type="cellIs" dxfId="29" priority="1" stopIfTrue="1" operator="notBetween">
      <formula>3</formula>
      <formula>65</formula>
    </cfRule>
  </conditionalFormatting>
  <conditionalFormatting sqref="A9:A53 D9:D53 G9:G53 J9:J53 M9:M53">
    <cfRule type="expression" dxfId="28" priority="2" stopIfTrue="1">
      <formula>3&gt;B9</formula>
    </cfRule>
    <cfRule type="expression" dxfId="27" priority="3" stopIfTrue="1">
      <formula>65&lt;B9</formula>
    </cfRule>
  </conditionalFormatting>
  <dataValidations count="2">
    <dataValidation type="list" allowBlank="1" showInputMessage="1" showErrorMessage="1" sqref="Q6">
      <formula1>"0,1,0,5"</formula1>
    </dataValidation>
    <dataValidation type="list" allowBlank="1" showInputMessage="1" showErrorMessage="1" sqref="E2:G2">
      <formula1>"16 (Standard),12 (Quantum),8 (Quantum)"</formula1>
    </dataValidation>
  </dataValidations>
  <pageMargins left="0.78740157480314965" right="0.39370078740157483" top="0.51181102362204722" bottom="0.82677165354330717" header="0.51181102362204722" footer="0.51181102362204722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Eingabe</vt:lpstr>
      <vt:lpstr>Papierliste</vt:lpstr>
      <vt:lpstr>AufrissKartonumschlag</vt:lpstr>
      <vt:lpstr>AufrissKlappenbroschur</vt:lpstr>
      <vt:lpstr>AufrissSchutzumschlag</vt:lpstr>
      <vt:lpstr>AufrissBezug</vt:lpstr>
      <vt:lpstr>AufrissHalbleinenband</vt:lpstr>
      <vt:lpstr>AufrissSmartCover</vt:lpstr>
      <vt:lpstr>Rückentabelle TB</vt:lpstr>
      <vt:lpstr>Rückentabelle HC rund</vt:lpstr>
      <vt:lpstr>Rückentabelle HC gerade</vt:lpstr>
      <vt:lpstr>Sprache</vt:lpstr>
    </vt:vector>
  </TitlesOfParts>
  <Manager/>
  <Company>privat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Sailer</dc:creator>
  <cp:keywords/>
  <dc:description/>
  <cp:lastModifiedBy>Dieter Duday</cp:lastModifiedBy>
  <cp:revision/>
  <dcterms:created xsi:type="dcterms:W3CDTF">2019-05-08T11:51:03Z</dcterms:created>
  <dcterms:modified xsi:type="dcterms:W3CDTF">2019-08-22T14:06:32Z</dcterms:modified>
  <cp:category/>
  <cp:contentStatus/>
</cp:coreProperties>
</file>